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kaba\Documents\CAREB 2023 BoD Meetings\January 3, 2023 BoD Meeting\"/>
    </mc:Choice>
  </mc:AlternateContent>
  <xr:revisionPtr revIDLastSave="0" documentId="8_{17630D2D-2D9F-4365-A354-6CDC775E961B}" xr6:coauthVersionLast="47" xr6:coauthVersionMax="47" xr10:uidLastSave="{00000000-0000-0000-0000-000000000000}"/>
  <bookViews>
    <workbookView xWindow="3765" yWindow="3765" windowWidth="24375" windowHeight="11385" xr2:uid="{00000000-000D-0000-FFFF-FFFF00000000}"/>
  </bookViews>
  <sheets>
    <sheet name="BUDGET 2022" sheetId="1" r:id="rId1"/>
    <sheet name="CONFERENCE" sheetId="3" r:id="rId2"/>
    <sheet name="BUSINESS" sheetId="2" r:id="rId3"/>
    <sheet name="Invoice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N31" i="1"/>
  <c r="N39" i="1"/>
  <c r="N51" i="1" s="1"/>
  <c r="P33" i="1"/>
  <c r="P34" i="1"/>
  <c r="P36" i="1"/>
  <c r="P38" i="1"/>
  <c r="P42" i="1"/>
  <c r="P45" i="1"/>
  <c r="P54" i="1"/>
  <c r="P56" i="1"/>
  <c r="P57" i="1"/>
  <c r="P66" i="1"/>
  <c r="P68" i="1"/>
  <c r="E70" i="1"/>
  <c r="C58" i="1"/>
  <c r="P25" i="1"/>
  <c r="P22" i="1"/>
  <c r="O25" i="1"/>
  <c r="O22" i="1"/>
  <c r="O18" i="1"/>
  <c r="P18" i="1" s="1"/>
  <c r="O16" i="1"/>
  <c r="P16" i="1" s="1"/>
  <c r="O13" i="1"/>
  <c r="P13" i="1" s="1"/>
  <c r="O12" i="1"/>
  <c r="P12" i="1" s="1"/>
  <c r="O11" i="1"/>
  <c r="P11" i="1" s="1"/>
  <c r="O9" i="1"/>
  <c r="P9" i="1" s="1"/>
  <c r="O5" i="1"/>
  <c r="O6" i="1"/>
  <c r="P6" i="1" s="1"/>
  <c r="O10" i="1"/>
  <c r="P10" i="1" s="1"/>
  <c r="P19" i="1"/>
  <c r="N70" i="1"/>
  <c r="N58" i="1"/>
  <c r="M58" i="1"/>
  <c r="M70" i="1"/>
  <c r="M82" i="1"/>
  <c r="O32" i="1"/>
  <c r="P32" i="1" s="1"/>
  <c r="O33" i="1"/>
  <c r="O34" i="1"/>
  <c r="O35" i="1"/>
  <c r="P35" i="1" s="1"/>
  <c r="O36" i="1"/>
  <c r="O37" i="1"/>
  <c r="P37" i="1" s="1"/>
  <c r="O38" i="1"/>
  <c r="O42" i="1"/>
  <c r="O43" i="1"/>
  <c r="P43" i="1" s="1"/>
  <c r="O44" i="1"/>
  <c r="P44" i="1" s="1"/>
  <c r="O45" i="1"/>
  <c r="O46" i="1"/>
  <c r="P46" i="1" s="1"/>
  <c r="O48" i="1"/>
  <c r="P48" i="1" s="1"/>
  <c r="O49" i="1"/>
  <c r="P49" i="1" s="1"/>
  <c r="O54" i="1"/>
  <c r="O55" i="1"/>
  <c r="P55" i="1" s="1"/>
  <c r="O56" i="1"/>
  <c r="O57" i="1"/>
  <c r="O63" i="1"/>
  <c r="P63" i="1" s="1"/>
  <c r="O64" i="1"/>
  <c r="P64" i="1" s="1"/>
  <c r="O66" i="1"/>
  <c r="O67" i="1"/>
  <c r="P67" i="1" s="1"/>
  <c r="O68" i="1"/>
  <c r="O69" i="1"/>
  <c r="P69" i="1" s="1"/>
  <c r="O73" i="1"/>
  <c r="P73" i="1" s="1"/>
  <c r="O74" i="1"/>
  <c r="P74" i="1" s="1"/>
  <c r="O75" i="1"/>
  <c r="P75" i="1" s="1"/>
  <c r="O78" i="1"/>
  <c r="P78" i="1" s="1"/>
  <c r="O81" i="1"/>
  <c r="P81" i="1" s="1"/>
  <c r="K40" i="1"/>
  <c r="M40" i="1"/>
  <c r="L40" i="1"/>
  <c r="M17" i="1"/>
  <c r="O17" i="1" s="1"/>
  <c r="P17" i="1" s="1"/>
  <c r="M39" i="1"/>
  <c r="M31" i="1"/>
  <c r="L31" i="1"/>
  <c r="L39" i="1"/>
  <c r="M51" i="1" l="1"/>
  <c r="M84" i="1" s="1"/>
  <c r="N84" i="1"/>
  <c r="K39" i="1"/>
  <c r="K31" i="1"/>
  <c r="J39" i="1" l="1"/>
  <c r="J31" i="1"/>
  <c r="G62" i="1" l="1"/>
  <c r="O62" i="1" s="1"/>
  <c r="P62" i="1" s="1"/>
  <c r="D61" i="1"/>
  <c r="O61" i="1" s="1"/>
  <c r="P61" i="1" s="1"/>
  <c r="J40" i="1"/>
  <c r="I40" i="1"/>
  <c r="H40" i="1"/>
  <c r="F40" i="1"/>
  <c r="F65" i="1" l="1"/>
  <c r="O65" i="1" s="1"/>
  <c r="P65" i="1" s="1"/>
  <c r="H47" i="1"/>
  <c r="O47" i="1" s="1"/>
  <c r="P47" i="1" s="1"/>
  <c r="J41" i="1"/>
  <c r="O41" i="1" s="1"/>
  <c r="P41" i="1" s="1"/>
  <c r="I39" i="1"/>
  <c r="H39" i="1"/>
  <c r="G39" i="1"/>
  <c r="F39" i="1"/>
  <c r="I31" i="1"/>
  <c r="H31" i="1"/>
  <c r="G31" i="1"/>
  <c r="F31" i="1"/>
  <c r="C77" i="1" l="1"/>
  <c r="O77" i="1" s="1"/>
  <c r="P77" i="1" s="1"/>
  <c r="E39" i="1"/>
  <c r="E40" i="1"/>
  <c r="E31" i="1"/>
  <c r="D63" i="3" l="1"/>
  <c r="D62" i="3"/>
  <c r="D61" i="3"/>
  <c r="D60" i="3"/>
  <c r="D59" i="3"/>
  <c r="C58" i="3"/>
  <c r="D58" i="3" s="1"/>
  <c r="C57" i="3"/>
  <c r="D57" i="3" s="1"/>
  <c r="C56" i="3"/>
  <c r="D56" i="3" s="1"/>
  <c r="D55" i="3"/>
  <c r="D54" i="3"/>
  <c r="D53" i="3"/>
  <c r="C52" i="3"/>
  <c r="D52" i="3" s="1"/>
  <c r="C51" i="3"/>
  <c r="D51" i="3" s="1"/>
  <c r="D64" i="3" l="1"/>
  <c r="D39" i="1"/>
  <c r="D80" i="1" l="1"/>
  <c r="O80" i="1" s="1"/>
  <c r="P80" i="1" s="1"/>
  <c r="D79" i="1"/>
  <c r="O79" i="1" s="1"/>
  <c r="P79" i="1" s="1"/>
  <c r="C76" i="1"/>
  <c r="C39" i="1"/>
  <c r="O39" i="1" s="1"/>
  <c r="P39" i="1" s="1"/>
  <c r="D31" i="1"/>
  <c r="D40" i="1"/>
  <c r="C40" i="1"/>
  <c r="O40" i="1" s="1"/>
  <c r="P40" i="1" s="1"/>
  <c r="C82" i="1" l="1"/>
  <c r="O76" i="1"/>
  <c r="P76" i="1" s="1"/>
  <c r="C31" i="1"/>
  <c r="O31" i="1" s="1"/>
  <c r="P31" i="1" s="1"/>
  <c r="D32" i="3" l="1"/>
  <c r="B31" i="3"/>
  <c r="D31" i="3" s="1"/>
  <c r="B38" i="3" s="1"/>
  <c r="D30" i="3"/>
  <c r="B37" i="3" s="1"/>
  <c r="D29" i="3"/>
  <c r="D28" i="3"/>
  <c r="D27" i="3"/>
  <c r="B25" i="3"/>
  <c r="D25" i="3" s="1"/>
  <c r="B36" i="3" s="1"/>
  <c r="D24" i="3"/>
  <c r="B70" i="1"/>
  <c r="D33" i="3" l="1"/>
  <c r="C65" i="3"/>
  <c r="B39" i="3"/>
  <c r="B40" i="3" s="1"/>
  <c r="D66" i="3"/>
  <c r="B47" i="3"/>
  <c r="C70" i="1"/>
  <c r="D70" i="1"/>
  <c r="D40" i="2" l="1"/>
  <c r="C20" i="1" l="1"/>
  <c r="D20" i="1"/>
  <c r="E20" i="1"/>
  <c r="F20" i="1"/>
  <c r="G20" i="1"/>
  <c r="H20" i="1"/>
  <c r="I20" i="1"/>
  <c r="J20" i="1"/>
  <c r="K20" i="1"/>
  <c r="L20" i="1"/>
  <c r="C51" i="1"/>
  <c r="D51" i="1"/>
  <c r="E51" i="1"/>
  <c r="F51" i="1"/>
  <c r="G51" i="1"/>
  <c r="H51" i="1"/>
  <c r="I51" i="1"/>
  <c r="J51" i="1"/>
  <c r="K51" i="1"/>
  <c r="L51" i="1"/>
  <c r="D58" i="1"/>
  <c r="E58" i="1"/>
  <c r="F58" i="1"/>
  <c r="G58" i="1"/>
  <c r="H58" i="1"/>
  <c r="I58" i="1"/>
  <c r="J58" i="1"/>
  <c r="K58" i="1"/>
  <c r="L58" i="1"/>
  <c r="F70" i="1"/>
  <c r="G70" i="1"/>
  <c r="H70" i="1"/>
  <c r="I70" i="1"/>
  <c r="J70" i="1"/>
  <c r="K70" i="1"/>
  <c r="L70" i="1"/>
  <c r="D82" i="1"/>
  <c r="E82" i="1"/>
  <c r="F82" i="1"/>
  <c r="G82" i="1"/>
  <c r="H82" i="1"/>
  <c r="I82" i="1"/>
  <c r="J82" i="1"/>
  <c r="K82" i="1"/>
  <c r="L82" i="1"/>
  <c r="O51" i="1" l="1"/>
  <c r="P51" i="1" s="1"/>
  <c r="O58" i="1"/>
  <c r="O82" i="1"/>
  <c r="O70" i="1"/>
  <c r="P70" i="1" s="1"/>
  <c r="B58" i="1"/>
  <c r="P58" i="1" s="1"/>
  <c r="B51" i="1"/>
  <c r="B82" i="1"/>
  <c r="P82" i="1" s="1"/>
  <c r="B20" i="1"/>
  <c r="B84" i="1" l="1"/>
  <c r="B92" i="1" s="1"/>
  <c r="D71" i="2"/>
  <c r="D72" i="2"/>
  <c r="D70" i="2"/>
  <c r="B10" i="2" s="1"/>
  <c r="D76" i="2"/>
  <c r="D78" i="2"/>
  <c r="D79" i="2"/>
  <c r="D77" i="2"/>
  <c r="D44" i="2"/>
  <c r="D53" i="2"/>
  <c r="D51" i="2"/>
  <c r="B11" i="2" l="1"/>
  <c r="B20" i="2" s="1"/>
  <c r="D81" i="2"/>
  <c r="D45" i="2"/>
  <c r="D48" i="2"/>
  <c r="D50" i="2"/>
  <c r="E15" i="2"/>
  <c r="E14" i="2"/>
  <c r="N20" i="1" l="1"/>
  <c r="O20" i="1" s="1"/>
  <c r="P20" i="1" s="1"/>
  <c r="E18" i="2" l="1"/>
  <c r="E19" i="2"/>
  <c r="E4" i="2"/>
  <c r="E6" i="2"/>
  <c r="C20" i="2"/>
  <c r="D20" i="2"/>
  <c r="C7" i="2"/>
  <c r="D7" i="2"/>
  <c r="E10" i="2"/>
  <c r="E11" i="2"/>
  <c r="E16" i="2"/>
  <c r="E17" i="2"/>
  <c r="E13" i="2"/>
  <c r="E5" i="2"/>
  <c r="C20" i="3"/>
  <c r="C6" i="3"/>
  <c r="H84" i="1" l="1"/>
  <c r="I84" i="1"/>
  <c r="J84" i="1"/>
  <c r="K84" i="1"/>
  <c r="L84" i="1"/>
  <c r="G84" i="1" l="1"/>
  <c r="F84" i="1" l="1"/>
  <c r="E84" i="1" l="1"/>
  <c r="D84" i="1" l="1"/>
  <c r="C84" i="1"/>
  <c r="O84" i="1" s="1"/>
  <c r="P84" i="1" s="1"/>
  <c r="B6" i="3" l="1"/>
  <c r="B20" i="3"/>
  <c r="E20" i="2"/>
  <c r="B7" i="2"/>
  <c r="E7" i="2" l="1"/>
  <c r="B22" i="2"/>
  <c r="D54" i="2"/>
  <c r="D52" i="2"/>
  <c r="E55" i="2" s="1"/>
  <c r="D49" i="2"/>
  <c r="D47" i="2"/>
  <c r="D46" i="2"/>
  <c r="E56" i="2" l="1"/>
  <c r="D57" i="2"/>
  <c r="D61" i="2" s="1"/>
  <c r="D83" i="2" s="1"/>
  <c r="P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lishear</author>
  </authors>
  <commentList>
    <comment ref="E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lishear:</t>
        </r>
        <r>
          <rPr>
            <sz val="9"/>
            <color indexed="81"/>
            <rFont val="Tahoma"/>
            <family val="2"/>
          </rPr>
          <t xml:space="preserve">
for 2021 conf
</t>
        </r>
      </text>
    </comment>
    <comment ref="B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lishear:</t>
        </r>
        <r>
          <rPr>
            <sz val="9"/>
            <color indexed="81"/>
            <rFont val="Tahoma"/>
            <family val="2"/>
          </rPr>
          <t xml:space="preserve">
removed 10 K as was spent in 2021</t>
        </r>
      </text>
    </comment>
    <comment ref="D39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lishear:</t>
        </r>
        <r>
          <rPr>
            <sz val="9"/>
            <color indexed="81"/>
            <rFont val="Tahoma"/>
            <charset val="1"/>
          </rPr>
          <t xml:space="preserve">
normal fee plus cheque order
</t>
        </r>
      </text>
    </comment>
    <comment ref="L5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lishear:</t>
        </r>
        <r>
          <rPr>
            <sz val="9"/>
            <color indexed="81"/>
            <rFont val="Tahoma"/>
            <family val="2"/>
          </rPr>
          <t xml:space="preserve">
position stmt
</t>
        </r>
      </text>
    </comment>
    <comment ref="L7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lishear:</t>
        </r>
        <r>
          <rPr>
            <sz val="9"/>
            <color indexed="81"/>
            <rFont val="Tahoma"/>
            <family val="2"/>
          </rPr>
          <t xml:space="preserve">
web 6
</t>
        </r>
      </text>
    </comment>
    <comment ref="L7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lishear:</t>
        </r>
        <r>
          <rPr>
            <sz val="9"/>
            <color indexed="81"/>
            <rFont val="Tahoma"/>
            <family val="2"/>
          </rPr>
          <t xml:space="preserve">
web 6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Ofosu-Barko, Delilah</author>
  </authors>
  <commentList>
    <comment ref="B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Ofosu-Barko, Delilah:</t>
        </r>
        <r>
          <rPr>
            <sz val="9"/>
            <color indexed="81"/>
            <rFont val="Tahoma"/>
            <family val="2"/>
          </rPr>
          <t xml:space="preserve">
As per PTL 28APR2021 - this years recording fees ar $100/interpreter/day - a $25/interpreter/day increase from last years rates - PTL agreement to be updated with this detal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lishear</author>
  </authors>
  <commentList>
    <comment ref="E3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lishear:</t>
        </r>
        <r>
          <rPr>
            <sz val="9"/>
            <color indexed="81"/>
            <rFont val="Tahoma"/>
            <family val="2"/>
          </rPr>
          <t xml:space="preserve">
1. Re the $7,500 allocated to the ABR initiative/SETs grant for 2021 – Is that to be used to pay a portion of  Lydia-Joi’s service?
RESPONSE: Yes, however after review with Janice earlier this month, this will be increased to a total of $10,994.00 coming from our webinar SETS grant to cover partial costs of the ABR series.
</t>
        </r>
      </text>
    </comment>
  </commentList>
</comments>
</file>

<file path=xl/sharedStrings.xml><?xml version="1.0" encoding="utf-8"?>
<sst xmlns="http://schemas.openxmlformats.org/spreadsheetml/2006/main" count="452" uniqueCount="300">
  <si>
    <t>ANNUAL BUDGET</t>
  </si>
  <si>
    <t>REVENUE</t>
  </si>
  <si>
    <t>Membership &amp; Communications</t>
  </si>
  <si>
    <t>Membership Fees</t>
  </si>
  <si>
    <t xml:space="preserve">GST/QST </t>
  </si>
  <si>
    <t>GST refund</t>
  </si>
  <si>
    <t>QST refund</t>
  </si>
  <si>
    <t>Conference</t>
  </si>
  <si>
    <t>SETS Grant</t>
  </si>
  <si>
    <t>Registration revenue</t>
  </si>
  <si>
    <t>Sponsorship</t>
  </si>
  <si>
    <t>GIC Interest</t>
  </si>
  <si>
    <t>TOTAL REVENUE</t>
  </si>
  <si>
    <t>EXPENDITURES</t>
  </si>
  <si>
    <t>Core Operating Expenditure</t>
  </si>
  <si>
    <t>Insurances</t>
  </si>
  <si>
    <t>Accounting (Quarterly)</t>
  </si>
  <si>
    <t>Accounting (Review Engagement)</t>
  </si>
  <si>
    <t>Rackspace</t>
  </si>
  <si>
    <t>Easy DNS</t>
  </si>
  <si>
    <t>Bank Fees</t>
  </si>
  <si>
    <t>Office Supplies/Shipping</t>
  </si>
  <si>
    <t>Corporations Canada</t>
  </si>
  <si>
    <t>Admin Support</t>
  </si>
  <si>
    <t>Misc</t>
  </si>
  <si>
    <t>Legal Fees</t>
  </si>
  <si>
    <t>AGM Tech support</t>
  </si>
  <si>
    <t>Accounting Requests</t>
  </si>
  <si>
    <t>Survey Monkey</t>
  </si>
  <si>
    <t xml:space="preserve">Conference </t>
  </si>
  <si>
    <t>Website updates</t>
  </si>
  <si>
    <t>Translation</t>
  </si>
  <si>
    <t>TOTAL EXPENDITURES</t>
  </si>
  <si>
    <t>Business</t>
  </si>
  <si>
    <t>Webinars</t>
  </si>
  <si>
    <t xml:space="preserve">Business and Education </t>
  </si>
  <si>
    <t>YEAR TO DATE</t>
  </si>
  <si>
    <t>VARIANCE</t>
  </si>
  <si>
    <t>BUSINESS &amp; EDUCATION EXPENSES</t>
  </si>
  <si>
    <t xml:space="preserve">BUSINESS &amp; EDUCATION REVENUE </t>
  </si>
  <si>
    <t>Confernce Revenue</t>
  </si>
  <si>
    <t>Conference Expenditure</t>
  </si>
  <si>
    <t>EXPENDITURE</t>
  </si>
  <si>
    <t>TOTAL</t>
  </si>
  <si>
    <t>Free for members</t>
  </si>
  <si>
    <t>ITEM</t>
  </si>
  <si>
    <t>UNIT COST</t>
  </si>
  <si>
    <t>PROJECTED QUANTITY</t>
  </si>
  <si>
    <t>ANNUAL AMOUNT</t>
  </si>
  <si>
    <t>JUSTIFICATION</t>
  </si>
  <si>
    <t xml:space="preserve"> REVENUE ITEM</t>
  </si>
  <si>
    <t>EXPENSES</t>
  </si>
  <si>
    <t>FREQUENCY</t>
  </si>
  <si>
    <t>TOTAL EXPENDITURE</t>
  </si>
  <si>
    <t>AV costs</t>
  </si>
  <si>
    <t>pre-recorded interpretation</t>
  </si>
  <si>
    <t>Total</t>
  </si>
  <si>
    <t>JANUARY</t>
  </si>
  <si>
    <t>FEBRUARY</t>
  </si>
  <si>
    <t>NOTES</t>
  </si>
  <si>
    <t xml:space="preserve">Stripe Fees </t>
  </si>
  <si>
    <t>GST/HST paid</t>
  </si>
  <si>
    <t>MARCH</t>
  </si>
  <si>
    <t>Emodules</t>
  </si>
  <si>
    <t>APRIL</t>
  </si>
  <si>
    <t>MAY</t>
  </si>
  <si>
    <t>JUNE</t>
  </si>
  <si>
    <t>JULY</t>
  </si>
  <si>
    <t>Zoom</t>
  </si>
  <si>
    <t>AUGUST</t>
  </si>
  <si>
    <t>SEPTEMBER</t>
  </si>
  <si>
    <t>OCTOBER</t>
  </si>
  <si>
    <t>Translation (Newsletter/Communications)</t>
  </si>
  <si>
    <t>3x500</t>
  </si>
  <si>
    <t xml:space="preserve"> </t>
  </si>
  <si>
    <t>3x600</t>
  </si>
  <si>
    <t>Translation (written) (webinars 1,13,14)</t>
  </si>
  <si>
    <t>Translation (simultaneous) (webinars 1,13,14)</t>
  </si>
  <si>
    <t>3x565</t>
  </si>
  <si>
    <t>Webinars 1,13,14 Stipends</t>
  </si>
  <si>
    <t>Emodules 1,2,3 stipends</t>
  </si>
  <si>
    <t>Translation  (written) (emodules)</t>
  </si>
  <si>
    <t>Interpretations (emodules)</t>
  </si>
  <si>
    <t>ABR existing SETS allocation</t>
  </si>
  <si>
    <t>ABR CIHR presidents fund</t>
  </si>
  <si>
    <t>Webinar and Emodule revenue</t>
  </si>
  <si>
    <t xml:space="preserve">Webinar 1 (Foundational Skills) - Member </t>
  </si>
  <si>
    <t>Emodule 1 (Research w Indig. Comm) - Member</t>
  </si>
  <si>
    <t>Emodule 2 (Com Eng Research) - Member</t>
  </si>
  <si>
    <t>Emodule 2 (Com Eng Research) - non Member</t>
  </si>
  <si>
    <t>Emodule 1 (Research w Indig. Comm) - non Member</t>
  </si>
  <si>
    <t>Emodule 3 (RDM) - Member</t>
  </si>
  <si>
    <t>Emodule 3 (RDM) - non Member</t>
  </si>
  <si>
    <t>Webinar 13 (Special and Emerging Issues) - Members</t>
  </si>
  <si>
    <t>Webinar 13 (Special and Emerging Issues) - non Member</t>
  </si>
  <si>
    <t>Webinar 14 (Special and Emerging Issues) - Members</t>
  </si>
  <si>
    <t>Webinar 14 (Special and Emerging Issues) - no Member</t>
  </si>
  <si>
    <t xml:space="preserve">Webinar 1 (Foundational Skills) - non Member </t>
  </si>
  <si>
    <t>Webinars (1,13,14)</t>
  </si>
  <si>
    <t>Emodules (1,2,3)</t>
  </si>
  <si>
    <t>CIHR Grant</t>
  </si>
  <si>
    <t>to apply for</t>
  </si>
  <si>
    <t>SETs Grant - ABR Funds</t>
  </si>
  <si>
    <t>ABR - Vendor expenses 4 and 5 (2022)</t>
  </si>
  <si>
    <t>ABR Translation (40% 2022 exp)</t>
  </si>
  <si>
    <t>ABR Interpretation (40% 2022 exp)</t>
  </si>
  <si>
    <t xml:space="preserve">2022 Conference Registrations				</t>
  </si>
  <si>
    <t>Year to Date</t>
  </si>
  <si>
    <t>Variance</t>
  </si>
  <si>
    <t>refunds</t>
  </si>
  <si>
    <t>webinar total</t>
  </si>
  <si>
    <t>Emod Total</t>
  </si>
  <si>
    <t>ABR Initiative - translation and intepretation</t>
  </si>
  <si>
    <t>ABR Initiative - Vendor expenses (session 4&amp;5)</t>
  </si>
  <si>
    <t>2x3898.5</t>
  </si>
  <si>
    <t>ANNUAL BUDGET 2022</t>
  </si>
  <si>
    <t>Website Re-design/other</t>
  </si>
  <si>
    <t>Translation (written, 3 emodules and 3 webinars)</t>
  </si>
  <si>
    <t>Translation (simultaneous, 3 emodules and 3 web)</t>
  </si>
  <si>
    <t>Budget Request forms from Committee (Business and Education, ABR)</t>
  </si>
  <si>
    <t>no revenue on brf; only above grants</t>
  </si>
  <si>
    <t>ABR - Sessions</t>
  </si>
  <si>
    <t xml:space="preserve">ABR   </t>
  </si>
  <si>
    <t>Business and Education</t>
  </si>
  <si>
    <t>Total:</t>
  </si>
  <si>
    <t xml:space="preserve">There were 2021 ABR expenses on the BRF; </t>
  </si>
  <si>
    <t>ABR</t>
  </si>
  <si>
    <t>Total 2021 expenses:  $15,437</t>
  </si>
  <si>
    <t>40% is 2022 expense from BRF</t>
  </si>
  <si>
    <t>ABR SETS Grant</t>
  </si>
  <si>
    <t>ABR CIHR grant</t>
  </si>
  <si>
    <t>Revenue-Expenses</t>
  </si>
  <si>
    <t>simultaneous interpretation</t>
  </si>
  <si>
    <t>Plenary speaker honoraria</t>
  </si>
  <si>
    <t>Administration</t>
  </si>
  <si>
    <t>note: comes from webinar sets grant</t>
  </si>
  <si>
    <t xml:space="preserve">Note: , if our President’s fund application is successful the intent is to cover retrospective costs not fully covered by the SETS grant.
</t>
  </si>
  <si>
    <t>this was revised -email dtd Nov 30/21</t>
  </si>
  <si>
    <t>Elder Prayer Gift</t>
  </si>
  <si>
    <t>Door Prizes</t>
  </si>
  <si>
    <t>Video editing</t>
  </si>
  <si>
    <t>Hosting Fee for Conference Recordings</t>
  </si>
  <si>
    <t>ITEMS TO COVER THROUGH SETS GRANT</t>
  </si>
  <si>
    <t>AMOUNT</t>
  </si>
  <si>
    <t>Simultaneous interpretation</t>
  </si>
  <si>
    <t>AV &amp; event management costs</t>
  </si>
  <si>
    <t>PROJECTED REVENUE</t>
  </si>
  <si>
    <t>REGISTRATION TYPE</t>
  </si>
  <si>
    <t>UNIT PRICING</t>
  </si>
  <si>
    <t>PROJECTED #</t>
  </si>
  <si>
    <t>Individual Member</t>
  </si>
  <si>
    <t>Individual Non-Member</t>
  </si>
  <si>
    <t>Student</t>
  </si>
  <si>
    <t>Presenters</t>
  </si>
  <si>
    <t>unaffiliated (underemployed, participant, community member)</t>
  </si>
  <si>
    <t>Institutional Multi-Buy (20 -50)</t>
  </si>
  <si>
    <t>Institutional Multi-Buy (51 -80))</t>
  </si>
  <si>
    <t>Institutional Multi-Buay (81+)</t>
  </si>
  <si>
    <t>Sponsorship - Gold</t>
  </si>
  <si>
    <t>Sponsorship -Silver</t>
  </si>
  <si>
    <t>Sponsorship - Bronze</t>
  </si>
  <si>
    <t>SETS GRANT</t>
  </si>
  <si>
    <t>Total Participation</t>
  </si>
  <si>
    <t>Projected Variance</t>
  </si>
  <si>
    <t>Budget request form Dec 1/21</t>
  </si>
  <si>
    <t>Website - Monthly maintenance (SwiftMedia)</t>
  </si>
  <si>
    <t>invoice</t>
  </si>
  <si>
    <t>details</t>
  </si>
  <si>
    <t>date pd</t>
  </si>
  <si>
    <t>WB communications</t>
  </si>
  <si>
    <t>WB web 10</t>
  </si>
  <si>
    <t>WB ABR 5</t>
  </si>
  <si>
    <t>WB Web 11</t>
  </si>
  <si>
    <t>WB conferenc</t>
  </si>
  <si>
    <t>type</t>
  </si>
  <si>
    <t>amount</t>
  </si>
  <si>
    <t>LJ ABR 4</t>
  </si>
  <si>
    <t>Larissa Web 10</t>
  </si>
  <si>
    <t>Encore</t>
  </si>
  <si>
    <t>conf</t>
  </si>
  <si>
    <t>web 10</t>
  </si>
  <si>
    <t xml:space="preserve">Pendleton </t>
  </si>
  <si>
    <t>jan 11/22</t>
  </si>
  <si>
    <t>jan 7/22</t>
  </si>
  <si>
    <t>ABR 5</t>
  </si>
  <si>
    <t>feb 24`</t>
  </si>
  <si>
    <t>web 11</t>
  </si>
  <si>
    <t>conf 2022 promo</t>
  </si>
  <si>
    <t>Pauline DR</t>
  </si>
  <si>
    <t>ABR 4, jan 14</t>
  </si>
  <si>
    <t>ABR 5 jan 7</t>
  </si>
  <si>
    <t>per LOE</t>
  </si>
  <si>
    <t>from operating; SETS is used up</t>
  </si>
  <si>
    <t>Feb 28 chq</t>
  </si>
  <si>
    <t>S10009352</t>
  </si>
  <si>
    <t>wordley</t>
  </si>
  <si>
    <t>1376-7617</t>
  </si>
  <si>
    <t>Wendy KG</t>
  </si>
  <si>
    <t>date service/rcd</t>
  </si>
  <si>
    <t>ABR4 trans</t>
  </si>
  <si>
    <t>ABR4 int</t>
  </si>
  <si>
    <t>Alain Geuvremont</t>
  </si>
  <si>
    <t>jan 26 chq</t>
  </si>
  <si>
    <t>prom trans</t>
  </si>
  <si>
    <t>business and ed</t>
  </si>
  <si>
    <t>web 4</t>
  </si>
  <si>
    <t>jan 20 chq</t>
  </si>
  <si>
    <t>1/20/22</t>
  </si>
  <si>
    <t>2/14/22</t>
  </si>
  <si>
    <t>2/16/22</t>
  </si>
  <si>
    <t>2/21/22</t>
  </si>
  <si>
    <t>3/28/22</t>
  </si>
  <si>
    <t>2/18/22</t>
  </si>
  <si>
    <t>2/25/22</t>
  </si>
  <si>
    <t>2/15/22</t>
  </si>
  <si>
    <t>1/19/22</t>
  </si>
  <si>
    <t>3/16/22</t>
  </si>
  <si>
    <t>1/23/22</t>
  </si>
  <si>
    <t>2/23/22</t>
  </si>
  <si>
    <t>captioning</t>
  </si>
  <si>
    <t>stringer</t>
  </si>
  <si>
    <t>4293.95 cdn</t>
  </si>
  <si>
    <t>Captioning &amp; Transcripts (All languages)</t>
  </si>
  <si>
    <t>ITEMS TO COVER THROUGH PRESIDENTS  FUND</t>
  </si>
  <si>
    <t>Plenary Speaker Honoraria</t>
  </si>
  <si>
    <t>Presidents Fund</t>
  </si>
  <si>
    <t>updated based on Feb 8/22 approved updated conf budget</t>
  </si>
  <si>
    <t>notes</t>
  </si>
  <si>
    <t xml:space="preserve"> simult int</t>
  </si>
  <si>
    <t>pendleton</t>
  </si>
  <si>
    <t>WB inv</t>
  </si>
  <si>
    <t>Web 11 stipend</t>
  </si>
  <si>
    <t>conf translation</t>
  </si>
  <si>
    <t>april</t>
  </si>
  <si>
    <t>conf interpreters</t>
  </si>
  <si>
    <t>1/28/22</t>
  </si>
  <si>
    <t>hon wshp 4</t>
  </si>
  <si>
    <t>Juliet Daniel</t>
  </si>
  <si>
    <t>Liben G</t>
  </si>
  <si>
    <t>Noor El</t>
  </si>
  <si>
    <t>inv 2022-104</t>
  </si>
  <si>
    <t>think link graphics</t>
  </si>
  <si>
    <t>conf 2022</t>
  </si>
  <si>
    <t>AGM 2022</t>
  </si>
  <si>
    <t>wordey</t>
  </si>
  <si>
    <t>1516-0048</t>
  </si>
  <si>
    <t>1854-9008</t>
  </si>
  <si>
    <t>m mcginn</t>
  </si>
  <si>
    <t>web 3 2021</t>
  </si>
  <si>
    <t>nakia</t>
  </si>
  <si>
    <t>2621.26 cdn</t>
  </si>
  <si>
    <t>4338.98 cdn</t>
  </si>
  <si>
    <t>Emodules software (Articulate 360)</t>
  </si>
  <si>
    <t>AGM interpretation</t>
  </si>
  <si>
    <t>AGM Translation and Interpretation</t>
  </si>
  <si>
    <t>graphic recording</t>
  </si>
  <si>
    <t>Stephanie Nixon</t>
  </si>
  <si>
    <t>Emmanuel</t>
  </si>
  <si>
    <t>abr 2</t>
  </si>
  <si>
    <t>Linda F</t>
  </si>
  <si>
    <t>web 4 stipend</t>
  </si>
  <si>
    <t>LJ ABR 5</t>
  </si>
  <si>
    <t>deposit</t>
  </si>
  <si>
    <t>balance</t>
  </si>
  <si>
    <t>Video editing/graphic recording</t>
  </si>
  <si>
    <t>not eligible</t>
  </si>
  <si>
    <t xml:space="preserve">President's fund </t>
  </si>
  <si>
    <t>microsoft</t>
  </si>
  <si>
    <t>NOVEMBER</t>
  </si>
  <si>
    <t>DECEMBER</t>
  </si>
  <si>
    <t>renews in September</t>
  </si>
  <si>
    <t>Zoom Webinars for Woo Commerce</t>
  </si>
  <si>
    <t>Brookstreet refund 2020 conference</t>
  </si>
  <si>
    <t>Moses Tetui</t>
  </si>
  <si>
    <t>Dr. Hogarth</t>
  </si>
  <si>
    <t>Dr. Reid</t>
  </si>
  <si>
    <t>Dr. Skinnber</t>
  </si>
  <si>
    <t>Lydia Joi</t>
  </si>
  <si>
    <t>Dr. Adair</t>
  </si>
  <si>
    <t>Robyn rowe</t>
  </si>
  <si>
    <t>Dr. Timothy</t>
  </si>
  <si>
    <t>Dr. George</t>
  </si>
  <si>
    <t>Dr. Roy</t>
  </si>
  <si>
    <t>Dr. de Bberi</t>
  </si>
  <si>
    <t>LJ ABR 6</t>
  </si>
  <si>
    <t>conf 2022 hon</t>
  </si>
  <si>
    <t>web 6 and position stmt</t>
  </si>
  <si>
    <t xml:space="preserve">web 6   </t>
  </si>
  <si>
    <t>chq 208</t>
  </si>
  <si>
    <t>chq 209</t>
  </si>
  <si>
    <t>chq 210</t>
  </si>
  <si>
    <t>pendeleton</t>
  </si>
  <si>
    <t>in 10</t>
  </si>
  <si>
    <t>chq</t>
  </si>
  <si>
    <t>not applicable this year</t>
  </si>
  <si>
    <t>web 6 stipend</t>
  </si>
  <si>
    <t>web 6 translation</t>
  </si>
  <si>
    <t>CER emod</t>
  </si>
  <si>
    <t>Kevin Willison</t>
  </si>
  <si>
    <t>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</si>
</sst>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_);[Red]\(&quot;$&quot;#,##0.00\)"/>
    <numFmt numFmtId="166" formatCode="_(&quot;$&quot;* #,##0.00_);_(&quot;$&quot;* \(#,##0.00\);_(&quot;$&quot;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4" applyFill="1"/>
    <xf numFmtId="0" fontId="8" fillId="3" borderId="0" xfId="3" applyFont="1"/>
    <xf numFmtId="0" fontId="6" fillId="3" borderId="0" xfId="3" applyFont="1"/>
    <xf numFmtId="0" fontId="8" fillId="7" borderId="0" xfId="0" applyFont="1" applyFill="1"/>
    <xf numFmtId="166" fontId="10" fillId="7" borderId="0" xfId="1" applyFont="1" applyFill="1" applyAlignment="1">
      <alignment horizontal="center"/>
    </xf>
    <xf numFmtId="0" fontId="8" fillId="0" borderId="0" xfId="0" applyFont="1"/>
    <xf numFmtId="0" fontId="7" fillId="8" borderId="0" xfId="0" applyFont="1" applyFill="1"/>
    <xf numFmtId="0" fontId="11" fillId="0" borderId="0" xfId="0" applyFont="1" applyAlignment="1">
      <alignment vertical="center" wrapText="1"/>
    </xf>
    <xf numFmtId="0" fontId="8" fillId="3" borderId="0" xfId="3" applyFont="1" applyAlignment="1">
      <alignment wrapText="1"/>
    </xf>
    <xf numFmtId="0" fontId="11" fillId="0" borderId="0" xfId="0" applyFont="1" applyAlignment="1">
      <alignment vertical="center"/>
    </xf>
    <xf numFmtId="0" fontId="8" fillId="8" borderId="0" xfId="0" applyFont="1" applyFill="1"/>
    <xf numFmtId="166" fontId="10" fillId="8" borderId="0" xfId="1" applyFont="1" applyFill="1" applyAlignment="1">
      <alignment horizontal="center"/>
    </xf>
    <xf numFmtId="0" fontId="10" fillId="0" borderId="0" xfId="0" applyFont="1"/>
    <xf numFmtId="0" fontId="0" fillId="7" borderId="0" xfId="0" applyFill="1"/>
    <xf numFmtId="166" fontId="0" fillId="0" borderId="0" xfId="1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166" fontId="0" fillId="0" borderId="0" xfId="1" applyFont="1" applyBorder="1" applyAlignment="1">
      <alignment horizontal="center"/>
    </xf>
    <xf numFmtId="166" fontId="9" fillId="0" borderId="0" xfId="1" applyFont="1" applyBorder="1" applyAlignment="1">
      <alignment horizontal="center"/>
    </xf>
    <xf numFmtId="0" fontId="0" fillId="0" borderId="0" xfId="0" applyAlignment="1">
      <alignment wrapText="1"/>
    </xf>
    <xf numFmtId="166" fontId="10" fillId="7" borderId="0" xfId="1" applyFont="1" applyFill="1" applyBorder="1" applyAlignment="1">
      <alignment horizontal="center"/>
    </xf>
    <xf numFmtId="166" fontId="0" fillId="8" borderId="0" xfId="1" applyFont="1" applyFill="1" applyBorder="1" applyAlignment="1">
      <alignment horizontal="center"/>
    </xf>
    <xf numFmtId="0" fontId="0" fillId="8" borderId="0" xfId="0" applyFill="1"/>
    <xf numFmtId="166" fontId="0" fillId="0" borderId="0" xfId="1" applyFont="1" applyAlignment="1">
      <alignment wrapText="1"/>
    </xf>
    <xf numFmtId="166" fontId="10" fillId="7" borderId="0" xfId="1" applyFont="1" applyFill="1" applyAlignment="1">
      <alignment horizontal="center" wrapText="1"/>
    </xf>
    <xf numFmtId="166" fontId="10" fillId="8" borderId="0" xfId="1" applyFont="1" applyFill="1" applyAlignment="1">
      <alignment horizontal="center" wrapText="1"/>
    </xf>
    <xf numFmtId="166" fontId="0" fillId="0" borderId="0" xfId="1" applyFont="1" applyAlignment="1"/>
    <xf numFmtId="0" fontId="12" fillId="0" borderId="0" xfId="0" applyFont="1"/>
    <xf numFmtId="0" fontId="14" fillId="0" borderId="0" xfId="0" applyFont="1"/>
    <xf numFmtId="0" fontId="0" fillId="0" borderId="2" xfId="0" applyBorder="1"/>
    <xf numFmtId="166" fontId="13" fillId="0" borderId="1" xfId="1" applyFont="1" applyFill="1" applyBorder="1" applyAlignment="1">
      <alignment horizontal="center"/>
    </xf>
    <xf numFmtId="166" fontId="13" fillId="7" borderId="0" xfId="1" applyFont="1" applyFill="1" applyBorder="1" applyAlignment="1">
      <alignment horizontal="center"/>
    </xf>
    <xf numFmtId="166" fontId="0" fillId="0" borderId="0" xfId="1" applyFont="1" applyFill="1"/>
    <xf numFmtId="166" fontId="0" fillId="0" borderId="0" xfId="1" applyFont="1" applyFill="1" applyBorder="1"/>
    <xf numFmtId="0" fontId="0" fillId="11" borderId="2" xfId="0" applyFill="1" applyBorder="1"/>
    <xf numFmtId="0" fontId="2" fillId="2" borderId="2" xfId="2" applyBorder="1"/>
    <xf numFmtId="0" fontId="0" fillId="12" borderId="2" xfId="0" applyFill="1" applyBorder="1" applyAlignment="1">
      <alignment wrapText="1"/>
    </xf>
    <xf numFmtId="0" fontId="0" fillId="12" borderId="2" xfId="0" applyFill="1" applyBorder="1"/>
    <xf numFmtId="166" fontId="0" fillId="0" borderId="2" xfId="1" applyFont="1" applyBorder="1"/>
    <xf numFmtId="166" fontId="2" fillId="2" borderId="2" xfId="1" applyFont="1" applyFill="1" applyBorder="1"/>
    <xf numFmtId="164" fontId="0" fillId="0" borderId="2" xfId="0" applyNumberFormat="1" applyBorder="1"/>
    <xf numFmtId="165" fontId="0" fillId="0" borderId="2" xfId="0" applyNumberFormat="1" applyBorder="1"/>
    <xf numFmtId="166" fontId="14" fillId="0" borderId="3" xfId="1" applyFont="1" applyBorder="1"/>
    <xf numFmtId="166" fontId="0" fillId="0" borderId="0" xfId="1" applyFont="1"/>
    <xf numFmtId="166" fontId="0" fillId="12" borderId="2" xfId="1" applyFont="1" applyFill="1" applyBorder="1"/>
    <xf numFmtId="166" fontId="14" fillId="0" borderId="4" xfId="1" applyFont="1" applyBorder="1"/>
    <xf numFmtId="166" fontId="0" fillId="11" borderId="2" xfId="1" applyFont="1" applyFill="1" applyBorder="1"/>
    <xf numFmtId="166" fontId="14" fillId="0" borderId="0" xfId="1" applyFont="1"/>
    <xf numFmtId="0" fontId="16" fillId="8" borderId="0" xfId="0" applyFont="1" applyFill="1" applyAlignment="1">
      <alignment vertical="center"/>
    </xf>
    <xf numFmtId="0" fontId="10" fillId="7" borderId="0" xfId="0" applyFont="1" applyFill="1"/>
    <xf numFmtId="166" fontId="10" fillId="7" borderId="0" xfId="1" applyFont="1" applyFill="1"/>
    <xf numFmtId="166" fontId="1" fillId="0" borderId="0" xfId="1" applyFont="1" applyFill="1" applyBorder="1" applyAlignment="1">
      <alignment horizontal="center"/>
    </xf>
    <xf numFmtId="166" fontId="1" fillId="0" borderId="0" xfId="1" applyFont="1" applyFill="1" applyBorder="1"/>
    <xf numFmtId="166" fontId="10" fillId="0" borderId="0" xfId="1" applyFont="1" applyFill="1" applyAlignment="1">
      <alignment horizontal="center"/>
    </xf>
    <xf numFmtId="166" fontId="10" fillId="8" borderId="0" xfId="0" applyNumberFormat="1" applyFont="1" applyFill="1"/>
    <xf numFmtId="166" fontId="17" fillId="10" borderId="0" xfId="5" applyNumberFormat="1" applyFont="1" applyFill="1" applyAlignment="1">
      <alignment horizontal="center"/>
    </xf>
    <xf numFmtId="166" fontId="4" fillId="0" borderId="0" xfId="4" applyNumberFormat="1" applyFill="1" applyAlignment="1">
      <alignment horizontal="center"/>
    </xf>
    <xf numFmtId="166" fontId="1" fillId="0" borderId="0" xfId="6" applyNumberFormat="1" applyFill="1" applyAlignment="1">
      <alignment horizontal="center"/>
    </xf>
    <xf numFmtId="166" fontId="1" fillId="0" borderId="0" xfId="1" applyFont="1" applyAlignment="1">
      <alignment horizontal="center"/>
    </xf>
    <xf numFmtId="166" fontId="1" fillId="0" borderId="0" xfId="1" applyFont="1" applyFill="1" applyAlignment="1">
      <alignment horizontal="center"/>
    </xf>
    <xf numFmtId="166" fontId="1" fillId="0" borderId="0" xfId="1" applyFont="1" applyAlignment="1">
      <alignment horizontal="center" wrapText="1"/>
    </xf>
    <xf numFmtId="166" fontId="1" fillId="0" borderId="0" xfId="1" applyFont="1" applyAlignment="1">
      <alignment horizontal="right" vertical="center" wrapText="1"/>
    </xf>
    <xf numFmtId="166" fontId="18" fillId="0" borderId="0" xfId="1" applyFont="1" applyAlignment="1">
      <alignment horizontal="right" vertical="center" wrapText="1"/>
    </xf>
    <xf numFmtId="166" fontId="19" fillId="0" borderId="0" xfId="1" applyFont="1" applyAlignment="1">
      <alignment horizontal="right" vertical="center" wrapText="1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6" fontId="14" fillId="0" borderId="0" xfId="1" applyFont="1" applyAlignment="1">
      <alignment horizontal="center"/>
    </xf>
    <xf numFmtId="0" fontId="10" fillId="0" borderId="0" xfId="0" applyFont="1" applyAlignment="1">
      <alignment vertical="center" wrapText="1"/>
    </xf>
    <xf numFmtId="0" fontId="7" fillId="7" borderId="0" xfId="2" applyFont="1" applyFill="1"/>
    <xf numFmtId="166" fontId="1" fillId="0" borderId="0" xfId="7" applyNumberFormat="1" applyFill="1" applyAlignment="1">
      <alignment horizontal="center"/>
    </xf>
    <xf numFmtId="166" fontId="15" fillId="0" borderId="0" xfId="1" applyFont="1" applyFill="1" applyAlignment="1">
      <alignment horizontal="center"/>
    </xf>
    <xf numFmtId="0" fontId="15" fillId="0" borderId="0" xfId="0" applyFont="1"/>
    <xf numFmtId="166" fontId="10" fillId="0" borderId="0" xfId="1" applyFont="1" applyAlignment="1">
      <alignment horizontal="center"/>
    </xf>
    <xf numFmtId="166" fontId="14" fillId="0" borderId="0" xfId="1" applyFont="1" applyAlignment="1">
      <alignment horizontal="right" vertical="center" wrapText="1"/>
    </xf>
    <xf numFmtId="166" fontId="14" fillId="0" borderId="0" xfId="1" applyFont="1" applyFill="1"/>
    <xf numFmtId="0" fontId="22" fillId="0" borderId="0" xfId="0" applyFont="1"/>
    <xf numFmtId="166" fontId="22" fillId="0" borderId="0" xfId="1" applyFont="1" applyAlignment="1">
      <alignment horizontal="center"/>
    </xf>
    <xf numFmtId="166" fontId="12" fillId="0" borderId="0" xfId="1" applyFont="1" applyFill="1"/>
    <xf numFmtId="166" fontId="15" fillId="0" borderId="0" xfId="1" applyFont="1" applyFill="1"/>
    <xf numFmtId="0" fontId="14" fillId="0" borderId="0" xfId="0" applyFont="1" applyAlignment="1">
      <alignment horizontal="center"/>
    </xf>
    <xf numFmtId="166" fontId="14" fillId="8" borderId="0" xfId="1" applyFont="1" applyFill="1"/>
    <xf numFmtId="166" fontId="14" fillId="7" borderId="0" xfId="1" applyFont="1" applyFill="1"/>
    <xf numFmtId="166" fontId="0" fillId="0" borderId="0" xfId="0" applyNumberFormat="1"/>
    <xf numFmtId="166" fontId="14" fillId="0" borderId="0" xfId="0" applyNumberFormat="1" applyFont="1"/>
    <xf numFmtId="166" fontId="14" fillId="7" borderId="0" xfId="0" applyNumberFormat="1" applyFont="1" applyFill="1"/>
    <xf numFmtId="0" fontId="22" fillId="0" borderId="0" xfId="0" applyFont="1" applyAlignment="1">
      <alignment horizontal="center"/>
    </xf>
    <xf numFmtId="166" fontId="14" fillId="8" borderId="0" xfId="0" applyNumberFormat="1" applyFont="1" applyFill="1"/>
    <xf numFmtId="166" fontId="10" fillId="7" borderId="0" xfId="0" applyNumberFormat="1" applyFont="1" applyFill="1"/>
    <xf numFmtId="166" fontId="22" fillId="0" borderId="0" xfId="1" applyFont="1"/>
    <xf numFmtId="166" fontId="0" fillId="0" borderId="0" xfId="1" applyFont="1" applyBorder="1" applyAlignment="1">
      <alignment wrapText="1"/>
    </xf>
    <xf numFmtId="166" fontId="11" fillId="0" borderId="0" xfId="1" applyFont="1" applyBorder="1" applyAlignment="1">
      <alignment vertical="center"/>
    </xf>
    <xf numFmtId="166" fontId="11" fillId="0" borderId="0" xfId="1" applyFont="1" applyFill="1" applyBorder="1" applyAlignment="1">
      <alignment vertical="center"/>
    </xf>
    <xf numFmtId="166" fontId="18" fillId="0" borderId="0" xfId="1" applyFont="1" applyFill="1" applyBorder="1" applyAlignment="1">
      <alignment vertical="center"/>
    </xf>
    <xf numFmtId="166" fontId="1" fillId="0" borderId="0" xfId="1" applyFont="1" applyFill="1" applyBorder="1" applyAlignment="1">
      <alignment vertical="center"/>
    </xf>
    <xf numFmtId="0" fontId="1" fillId="0" borderId="0" xfId="3" applyFont="1" applyFill="1" applyAlignment="1">
      <alignment wrapText="1"/>
    </xf>
    <xf numFmtId="0" fontId="0" fillId="9" borderId="0" xfId="0" applyFill="1"/>
    <xf numFmtId="0" fontId="14" fillId="7" borderId="0" xfId="0" applyFont="1" applyFill="1"/>
    <xf numFmtId="0" fontId="0" fillId="12" borderId="5" xfId="0" applyFill="1" applyBorder="1"/>
    <xf numFmtId="3" fontId="0" fillId="0" borderId="2" xfId="0" applyNumberFormat="1" applyBorder="1"/>
    <xf numFmtId="44" fontId="2" fillId="2" borderId="2" xfId="2" applyNumberFormat="1" applyBorder="1"/>
    <xf numFmtId="166" fontId="1" fillId="0" borderId="0" xfId="1" applyFont="1" applyFill="1" applyAlignment="1">
      <alignment horizontal="right" vertical="center" wrapText="1"/>
    </xf>
    <xf numFmtId="0" fontId="23" fillId="0" borderId="2" xfId="0" applyFont="1" applyBorder="1"/>
    <xf numFmtId="0" fontId="14" fillId="0" borderId="2" xfId="0" applyFont="1" applyBorder="1"/>
    <xf numFmtId="166" fontId="14" fillId="0" borderId="2" xfId="1" applyFont="1" applyBorder="1"/>
    <xf numFmtId="0" fontId="7" fillId="9" borderId="0" xfId="0" applyFont="1" applyFill="1"/>
    <xf numFmtId="44" fontId="7" fillId="9" borderId="0" xfId="0" applyNumberFormat="1" applyFont="1" applyFill="1"/>
    <xf numFmtId="0" fontId="23" fillId="0" borderId="0" xfId="0" applyFont="1"/>
    <xf numFmtId="0" fontId="14" fillId="12" borderId="2" xfId="0" applyFont="1" applyFill="1" applyBorder="1"/>
    <xf numFmtId="166" fontId="1" fillId="9" borderId="0" xfId="1" applyFont="1" applyFill="1" applyAlignment="1">
      <alignment horizontal="center"/>
    </xf>
    <xf numFmtId="166" fontId="18" fillId="9" borderId="0" xfId="1" applyFont="1" applyFill="1" applyAlignment="1">
      <alignment horizontal="right" vertical="center" wrapText="1"/>
    </xf>
    <xf numFmtId="166" fontId="0" fillId="9" borderId="0" xfId="1" applyFont="1" applyFill="1" applyAlignment="1">
      <alignment wrapText="1"/>
    </xf>
    <xf numFmtId="9" fontId="0" fillId="0" borderId="0" xfId="8" applyFont="1"/>
    <xf numFmtId="0" fontId="14" fillId="13" borderId="2" xfId="0" applyFont="1" applyFill="1" applyBorder="1"/>
    <xf numFmtId="44" fontId="14" fillId="0" borderId="0" xfId="0" applyNumberFormat="1" applyFont="1"/>
    <xf numFmtId="166" fontId="0" fillId="0" borderId="0" xfId="1" applyFont="1" applyAlignment="1">
      <alignment horizontal="center"/>
    </xf>
    <xf numFmtId="16" fontId="0" fillId="0" borderId="0" xfId="0" applyNumberFormat="1"/>
    <xf numFmtId="16" fontId="0" fillId="9" borderId="0" xfId="0" applyNumberFormat="1" applyFill="1"/>
    <xf numFmtId="166" fontId="18" fillId="0" borderId="0" xfId="1" applyFont="1" applyFill="1" applyAlignment="1">
      <alignment horizontal="right" vertical="center" wrapText="1"/>
    </xf>
    <xf numFmtId="166" fontId="26" fillId="0" borderId="0" xfId="1" applyFont="1" applyFill="1" applyAlignment="1">
      <alignment horizontal="right" vertical="center" wrapText="1"/>
    </xf>
    <xf numFmtId="166" fontId="0" fillId="0" borderId="0" xfId="1" applyFont="1" applyFill="1" applyAlignment="1">
      <alignment horizontal="center"/>
    </xf>
    <xf numFmtId="0" fontId="0" fillId="9" borderId="2" xfId="0" applyFill="1" applyBorder="1"/>
    <xf numFmtId="0" fontId="0" fillId="14" borderId="0" xfId="0" applyFill="1"/>
    <xf numFmtId="16" fontId="0" fillId="14" borderId="0" xfId="0" applyNumberFormat="1" applyFill="1"/>
    <xf numFmtId="0" fontId="0" fillId="11" borderId="0" xfId="0" applyFill="1"/>
    <xf numFmtId="16" fontId="0" fillId="11" borderId="0" xfId="0" applyNumberFormat="1" applyFill="1"/>
    <xf numFmtId="0" fontId="15" fillId="11" borderId="0" xfId="0" applyFont="1" applyFill="1"/>
    <xf numFmtId="166" fontId="1" fillId="0" borderId="0" xfId="1" applyFont="1"/>
  </cellXfs>
  <cellStyles count="9">
    <cellStyle name="40% - Accent4" xfId="6" builtinId="43"/>
    <cellStyle name="40% - Accent6" xfId="7" builtinId="51"/>
    <cellStyle name="Accent2" xfId="5" builtinId="33"/>
    <cellStyle name="Currency" xfId="1" builtinId="4"/>
    <cellStyle name="Explanatory Text" xfId="4" builtinId="53"/>
    <cellStyle name="Good" xfId="2" builtinId="26"/>
    <cellStyle name="Neutral" xfId="3" builtinId="28"/>
    <cellStyle name="Normal" xfId="0" builtinId="0"/>
    <cellStyle name="Percent" xfId="8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"/>
  <sheetViews>
    <sheetView tabSelected="1" topLeftCell="A13" zoomScale="90" zoomScaleNormal="90" workbookViewId="0">
      <selection activeCell="M75" sqref="M75"/>
    </sheetView>
  </sheetViews>
  <sheetFormatPr defaultRowHeight="15" x14ac:dyDescent="0.25"/>
  <cols>
    <col min="1" max="1" width="40.140625" customWidth="1"/>
    <col min="2" max="2" width="23" style="64" customWidth="1"/>
    <col min="3" max="3" width="18.42578125" style="43" customWidth="1"/>
    <col min="4" max="4" width="17.140625" style="43" customWidth="1"/>
    <col min="5" max="5" width="12.42578125" style="43" customWidth="1"/>
    <col min="6" max="6" width="16.7109375" customWidth="1"/>
    <col min="7" max="7" width="15.140625" customWidth="1"/>
    <col min="8" max="8" width="16.7109375" style="43" customWidth="1"/>
    <col min="9" max="9" width="13.7109375" customWidth="1"/>
    <col min="10" max="10" width="11.28515625" customWidth="1"/>
    <col min="11" max="11" width="13.85546875" bestFit="1" customWidth="1"/>
    <col min="12" max="14" width="15.28515625" customWidth="1"/>
    <col min="15" max="15" width="16" style="28" customWidth="1"/>
    <col min="16" max="16" width="15.85546875" style="47" customWidth="1"/>
    <col min="17" max="17" width="67.140625" customWidth="1"/>
  </cols>
  <sheetData>
    <row r="1" spans="1:17" x14ac:dyDescent="0.25">
      <c r="B1" s="55" t="s">
        <v>115</v>
      </c>
      <c r="C1" s="81" t="s">
        <v>57</v>
      </c>
      <c r="D1" s="81" t="s">
        <v>58</v>
      </c>
      <c r="E1" s="81" t="s">
        <v>62</v>
      </c>
      <c r="F1" s="90" t="s">
        <v>64</v>
      </c>
      <c r="G1" s="90" t="s">
        <v>65</v>
      </c>
      <c r="H1" s="93" t="s">
        <v>66</v>
      </c>
      <c r="I1" s="80" t="s">
        <v>67</v>
      </c>
      <c r="J1" s="80" t="s">
        <v>69</v>
      </c>
      <c r="K1" s="80" t="s">
        <v>70</v>
      </c>
      <c r="L1" s="80" t="s">
        <v>71</v>
      </c>
      <c r="M1" s="80" t="s">
        <v>268</v>
      </c>
      <c r="N1" s="80" t="s">
        <v>269</v>
      </c>
      <c r="O1" s="28" t="s">
        <v>56</v>
      </c>
      <c r="P1" s="71" t="s">
        <v>37</v>
      </c>
      <c r="Q1" s="84" t="s">
        <v>59</v>
      </c>
    </row>
    <row r="2" spans="1:17" ht="21" x14ac:dyDescent="0.35">
      <c r="A2" s="73" t="s">
        <v>1</v>
      </c>
      <c r="B2" s="74"/>
      <c r="C2" s="32"/>
      <c r="D2" s="32"/>
      <c r="E2" s="32"/>
      <c r="H2" s="32"/>
    </row>
    <row r="3" spans="1:17" x14ac:dyDescent="0.25">
      <c r="A3" s="1"/>
      <c r="B3" s="56"/>
    </row>
    <row r="4" spans="1:17" ht="18.75" x14ac:dyDescent="0.3">
      <c r="A4" s="2" t="s">
        <v>2</v>
      </c>
      <c r="B4" s="57"/>
      <c r="Q4" t="s">
        <v>74</v>
      </c>
    </row>
    <row r="5" spans="1:17" x14ac:dyDescent="0.25">
      <c r="A5" t="s">
        <v>3</v>
      </c>
      <c r="B5" s="58">
        <v>25000</v>
      </c>
      <c r="C5" s="43">
        <v>8125</v>
      </c>
      <c r="D5" s="43">
        <v>3375</v>
      </c>
      <c r="E5" s="43">
        <v>2375</v>
      </c>
      <c r="F5" s="43">
        <v>5125</v>
      </c>
      <c r="G5" s="43">
        <v>375</v>
      </c>
      <c r="H5" s="43">
        <v>750</v>
      </c>
      <c r="I5" s="43">
        <v>375</v>
      </c>
      <c r="J5" s="43">
        <v>425</v>
      </c>
      <c r="K5" s="43">
        <v>375</v>
      </c>
      <c r="L5" s="43">
        <v>125</v>
      </c>
      <c r="M5" s="43">
        <v>1625</v>
      </c>
      <c r="N5" s="43">
        <v>500</v>
      </c>
      <c r="O5" s="88">
        <f>SUM(C5:N5)</f>
        <v>23550</v>
      </c>
      <c r="P5" s="47">
        <f>SUM(O5-B5)</f>
        <v>-1450</v>
      </c>
      <c r="Q5" t="s">
        <v>74</v>
      </c>
    </row>
    <row r="6" spans="1:17" x14ac:dyDescent="0.25">
      <c r="A6" t="s">
        <v>109</v>
      </c>
      <c r="B6" s="58"/>
      <c r="F6" s="43"/>
      <c r="G6" s="43"/>
      <c r="K6" s="43"/>
      <c r="O6" s="88">
        <f t="shared" ref="O6:O10" si="0">SUM(C6:L6)</f>
        <v>0</v>
      </c>
      <c r="P6" s="47">
        <f t="shared" ref="P6:P20" si="1">SUM(O6-B6)</f>
        <v>0</v>
      </c>
    </row>
    <row r="7" spans="1:17" x14ac:dyDescent="0.25">
      <c r="B7" s="58"/>
      <c r="O7" s="88"/>
      <c r="P7" s="47" t="s">
        <v>74</v>
      </c>
    </row>
    <row r="8" spans="1:17" ht="18.75" x14ac:dyDescent="0.3">
      <c r="A8" s="2" t="s">
        <v>7</v>
      </c>
      <c r="B8" s="57"/>
      <c r="O8" s="88"/>
      <c r="P8" s="47" t="s">
        <v>74</v>
      </c>
    </row>
    <row r="9" spans="1:17" x14ac:dyDescent="0.25">
      <c r="A9" t="s">
        <v>8</v>
      </c>
      <c r="B9" s="59">
        <v>25000</v>
      </c>
      <c r="E9" s="43">
        <v>25000</v>
      </c>
      <c r="F9" s="32"/>
      <c r="O9" s="88">
        <f>SUM(C9:N9)</f>
        <v>25000</v>
      </c>
      <c r="P9" s="47">
        <f t="shared" si="1"/>
        <v>0</v>
      </c>
    </row>
    <row r="10" spans="1:17" x14ac:dyDescent="0.25">
      <c r="A10" t="s">
        <v>266</v>
      </c>
      <c r="B10" s="59">
        <v>25000</v>
      </c>
      <c r="F10" s="32"/>
      <c r="O10" s="88">
        <f t="shared" si="0"/>
        <v>0</v>
      </c>
      <c r="P10" s="47">
        <f t="shared" si="1"/>
        <v>-25000</v>
      </c>
      <c r="Q10" t="s">
        <v>265</v>
      </c>
    </row>
    <row r="11" spans="1:17" x14ac:dyDescent="0.25">
      <c r="A11" t="s">
        <v>9</v>
      </c>
      <c r="B11" s="59">
        <v>22375</v>
      </c>
      <c r="E11" s="43">
        <v>7070</v>
      </c>
      <c r="F11" s="43">
        <v>23075</v>
      </c>
      <c r="G11" s="43">
        <v>1060</v>
      </c>
      <c r="J11" s="43" t="s">
        <v>74</v>
      </c>
      <c r="K11" s="43"/>
      <c r="M11" s="43">
        <v>10</v>
      </c>
      <c r="O11" s="88">
        <f>SUM(C11:N11)</f>
        <v>31215</v>
      </c>
      <c r="P11" s="47">
        <f t="shared" si="1"/>
        <v>8840</v>
      </c>
    </row>
    <row r="12" spans="1:17" x14ac:dyDescent="0.25">
      <c r="A12" t="s">
        <v>272</v>
      </c>
      <c r="B12" s="59"/>
      <c r="F12" s="43"/>
      <c r="G12" s="43"/>
      <c r="L12" s="43">
        <v>5000</v>
      </c>
      <c r="O12" s="88">
        <f>SUM(C12:N12)</f>
        <v>5000</v>
      </c>
      <c r="P12" s="47">
        <f t="shared" si="1"/>
        <v>5000</v>
      </c>
    </row>
    <row r="13" spans="1:17" x14ac:dyDescent="0.25">
      <c r="A13" t="s">
        <v>10</v>
      </c>
      <c r="B13" s="124">
        <v>23000</v>
      </c>
      <c r="F13" s="43"/>
      <c r="O13" s="88">
        <f>SUM(C13:N13)</f>
        <v>0</v>
      </c>
      <c r="P13" s="47">
        <f t="shared" si="1"/>
        <v>-23000</v>
      </c>
      <c r="Q13" t="s">
        <v>294</v>
      </c>
    </row>
    <row r="14" spans="1:17" ht="18.75" x14ac:dyDescent="0.3">
      <c r="A14" s="2" t="s">
        <v>33</v>
      </c>
      <c r="B14" s="59"/>
      <c r="O14" s="88" t="s">
        <v>74</v>
      </c>
      <c r="P14" s="47" t="s">
        <v>74</v>
      </c>
    </row>
    <row r="15" spans="1:17" x14ac:dyDescent="0.25">
      <c r="A15" t="s">
        <v>129</v>
      </c>
      <c r="B15" s="33">
        <v>0</v>
      </c>
      <c r="H15" s="33"/>
      <c r="I15" s="51"/>
      <c r="O15" s="88" t="s">
        <v>74</v>
      </c>
      <c r="P15" s="47" t="s">
        <v>74</v>
      </c>
    </row>
    <row r="16" spans="1:17" x14ac:dyDescent="0.25">
      <c r="A16" t="s">
        <v>130</v>
      </c>
      <c r="B16" s="58">
        <v>25000</v>
      </c>
      <c r="H16" s="33"/>
      <c r="I16" s="52"/>
      <c r="O16" s="88">
        <f>SUM(C16:N16)</f>
        <v>0</v>
      </c>
      <c r="P16" s="47">
        <f t="shared" si="1"/>
        <v>-25000</v>
      </c>
    </row>
    <row r="17" spans="1:17" x14ac:dyDescent="0.25">
      <c r="A17" s="99" t="s">
        <v>34</v>
      </c>
      <c r="B17" s="60">
        <v>3360</v>
      </c>
      <c r="C17" s="43">
        <v>240</v>
      </c>
      <c r="D17" s="32">
        <v>580</v>
      </c>
      <c r="E17" s="32">
        <v>750</v>
      </c>
      <c r="F17" s="32"/>
      <c r="G17" s="32" t="s">
        <v>74</v>
      </c>
      <c r="H17" s="94"/>
      <c r="I17" s="51"/>
      <c r="J17" s="32">
        <v>50</v>
      </c>
      <c r="K17" s="32">
        <v>625</v>
      </c>
      <c r="L17" s="43">
        <v>650</v>
      </c>
      <c r="M17" s="43">
        <f>510+275</f>
        <v>785</v>
      </c>
      <c r="N17" s="43"/>
      <c r="O17" s="88">
        <f>SUM(C17:N17)</f>
        <v>3680</v>
      </c>
      <c r="P17" s="47">
        <f t="shared" si="1"/>
        <v>320</v>
      </c>
    </row>
    <row r="18" spans="1:17" x14ac:dyDescent="0.25">
      <c r="A18" t="s">
        <v>63</v>
      </c>
      <c r="B18" s="51">
        <v>9900</v>
      </c>
      <c r="I18" s="32"/>
      <c r="J18" s="32"/>
      <c r="M18" s="43">
        <v>75</v>
      </c>
      <c r="O18" s="88">
        <f>SUM(C18:N18)</f>
        <v>75</v>
      </c>
      <c r="P18" s="47">
        <f t="shared" si="1"/>
        <v>-9825</v>
      </c>
    </row>
    <row r="19" spans="1:17" x14ac:dyDescent="0.25">
      <c r="B19" s="58"/>
      <c r="C19" s="82"/>
      <c r="D19" s="82"/>
      <c r="E19" s="82"/>
      <c r="F19" s="27"/>
      <c r="G19" s="27"/>
      <c r="I19" s="15"/>
      <c r="P19" s="47">
        <f t="shared" si="1"/>
        <v>0</v>
      </c>
    </row>
    <row r="20" spans="1:17" ht="18.75" x14ac:dyDescent="0.3">
      <c r="A20" s="4" t="s">
        <v>12</v>
      </c>
      <c r="B20" s="5">
        <f t="shared" ref="B20:N20" si="2">SUM(B5:B19)</f>
        <v>158635</v>
      </c>
      <c r="C20" s="86">
        <f t="shared" si="2"/>
        <v>8365</v>
      </c>
      <c r="D20" s="86">
        <f t="shared" si="2"/>
        <v>3955</v>
      </c>
      <c r="E20" s="86">
        <f t="shared" si="2"/>
        <v>35195</v>
      </c>
      <c r="F20" s="89">
        <f t="shared" si="2"/>
        <v>28200</v>
      </c>
      <c r="G20" s="89">
        <f t="shared" si="2"/>
        <v>1435</v>
      </c>
      <c r="H20" s="89">
        <f t="shared" si="2"/>
        <v>750</v>
      </c>
      <c r="I20" s="89">
        <f t="shared" si="2"/>
        <v>375</v>
      </c>
      <c r="J20" s="89">
        <f t="shared" si="2"/>
        <v>475</v>
      </c>
      <c r="K20" s="89">
        <f t="shared" si="2"/>
        <v>1000</v>
      </c>
      <c r="L20" s="89">
        <f t="shared" si="2"/>
        <v>5775</v>
      </c>
      <c r="M20" s="89">
        <v>2495</v>
      </c>
      <c r="N20" s="89">
        <f t="shared" si="2"/>
        <v>500</v>
      </c>
      <c r="O20" s="89">
        <f>SUM(C20:N20)</f>
        <v>88520</v>
      </c>
      <c r="P20" s="47">
        <f t="shared" si="1"/>
        <v>-70115</v>
      </c>
    </row>
    <row r="21" spans="1:17" ht="18.75" x14ac:dyDescent="0.3">
      <c r="A21" s="6"/>
      <c r="B21" s="53"/>
      <c r="C21" s="79"/>
      <c r="D21" s="79"/>
      <c r="E21" s="79"/>
      <c r="F21" s="28"/>
      <c r="G21" s="28"/>
      <c r="H21" s="79"/>
      <c r="I21" s="28"/>
      <c r="J21" s="28"/>
    </row>
    <row r="22" spans="1:17" ht="18.75" x14ac:dyDescent="0.3">
      <c r="A22" s="2" t="s">
        <v>11</v>
      </c>
      <c r="B22" s="58"/>
      <c r="H22" s="95"/>
      <c r="I22" s="15"/>
      <c r="M22" s="43">
        <v>175</v>
      </c>
      <c r="O22" s="88">
        <f>SUM(C22:N22)</f>
        <v>175</v>
      </c>
      <c r="P22" s="47">
        <f>SUM(O22-B22)</f>
        <v>175</v>
      </c>
    </row>
    <row r="24" spans="1:17" ht="18.75" x14ac:dyDescent="0.3">
      <c r="A24" s="3" t="s">
        <v>4</v>
      </c>
      <c r="B24" s="57"/>
    </row>
    <row r="25" spans="1:17" x14ac:dyDescent="0.25">
      <c r="A25" t="s">
        <v>5</v>
      </c>
      <c r="B25" s="58"/>
      <c r="F25" s="43"/>
      <c r="I25" s="43">
        <v>4756.03</v>
      </c>
      <c r="J25" s="43"/>
      <c r="O25" s="88">
        <f>SUM(C25:N25)</f>
        <v>4756.03</v>
      </c>
      <c r="P25" s="47">
        <f>SUM(O25-B25)</f>
        <v>4756.03</v>
      </c>
      <c r="Q25" t="s">
        <v>74</v>
      </c>
    </row>
    <row r="26" spans="1:17" x14ac:dyDescent="0.25">
      <c r="A26" t="s">
        <v>6</v>
      </c>
      <c r="B26" s="58"/>
    </row>
    <row r="27" spans="1:17" ht="18.75" x14ac:dyDescent="0.3">
      <c r="A27" s="6"/>
      <c r="B27" s="58"/>
    </row>
    <row r="28" spans="1:17" ht="21" x14ac:dyDescent="0.35">
      <c r="A28" s="7" t="s">
        <v>13</v>
      </c>
      <c r="B28" s="75"/>
      <c r="C28" s="83"/>
      <c r="D28" s="83"/>
      <c r="E28" s="83"/>
      <c r="F28" s="76"/>
      <c r="G28" s="76"/>
      <c r="H28" s="83"/>
      <c r="I28" s="76"/>
      <c r="J28" s="76"/>
    </row>
    <row r="29" spans="1:17" ht="18.75" x14ac:dyDescent="0.3">
      <c r="A29" s="6"/>
      <c r="B29" s="58"/>
    </row>
    <row r="30" spans="1:17" ht="18.75" x14ac:dyDescent="0.3">
      <c r="A30" s="2" t="s">
        <v>14</v>
      </c>
      <c r="B30" s="57"/>
    </row>
    <row r="31" spans="1:17" x14ac:dyDescent="0.25">
      <c r="A31" s="65" t="s">
        <v>15</v>
      </c>
      <c r="B31" s="61">
        <v>5000</v>
      </c>
      <c r="C31" s="43">
        <f>150.74+8.88+173.35+1382.34</f>
        <v>1715.31</v>
      </c>
      <c r="D31" s="43">
        <f>173.35+150.74</f>
        <v>324.09000000000003</v>
      </c>
      <c r="E31" s="43">
        <f>150.74+173.35</f>
        <v>324.09000000000003</v>
      </c>
      <c r="F31" s="43">
        <f>150.74+173.35</f>
        <v>324.09000000000003</v>
      </c>
      <c r="G31" s="43">
        <f>150.74+173.35</f>
        <v>324.09000000000003</v>
      </c>
      <c r="H31" s="43">
        <f>150.74+173.35</f>
        <v>324.09000000000003</v>
      </c>
      <c r="I31" s="43">
        <f>150.74+173.29</f>
        <v>324.02999999999997</v>
      </c>
      <c r="J31" s="43">
        <f>182.97+150.72</f>
        <v>333.69</v>
      </c>
      <c r="K31" s="43">
        <f>182.97+143.75</f>
        <v>326.72000000000003</v>
      </c>
      <c r="L31" s="43">
        <f>182.97+143.75</f>
        <v>326.72000000000003</v>
      </c>
      <c r="M31" s="43">
        <f>182.97+143.75</f>
        <v>326.72000000000003</v>
      </c>
      <c r="N31" s="43">
        <f>182.97+143.75</f>
        <v>326.72000000000003</v>
      </c>
      <c r="O31" s="87">
        <f>SUM(C31:N31)</f>
        <v>5300.3600000000015</v>
      </c>
      <c r="P31" s="131">
        <f>SUM(B31-O31)</f>
        <v>-300.36000000000149</v>
      </c>
    </row>
    <row r="32" spans="1:17" x14ac:dyDescent="0.25">
      <c r="A32" s="65" t="s">
        <v>16</v>
      </c>
      <c r="B32" s="105">
        <v>8000</v>
      </c>
      <c r="H32" s="43">
        <v>7627.5</v>
      </c>
      <c r="O32" s="87">
        <f t="shared" ref="O32:O82" si="3">SUM(C32:N32)</f>
        <v>7627.5</v>
      </c>
      <c r="P32" s="131">
        <f t="shared" ref="P32:P82" si="4">SUM(B32-O32)</f>
        <v>372.5</v>
      </c>
      <c r="Q32" t="s">
        <v>74</v>
      </c>
    </row>
    <row r="33" spans="1:17" x14ac:dyDescent="0.25">
      <c r="A33" s="66" t="s">
        <v>17</v>
      </c>
      <c r="B33" s="61">
        <v>5000</v>
      </c>
      <c r="F33" s="43"/>
      <c r="I33" s="43">
        <v>4520</v>
      </c>
      <c r="K33" s="43" t="s">
        <v>74</v>
      </c>
      <c r="O33" s="87">
        <f t="shared" si="3"/>
        <v>4520</v>
      </c>
      <c r="P33" s="131">
        <f t="shared" si="4"/>
        <v>480</v>
      </c>
      <c r="Q33" t="s">
        <v>74</v>
      </c>
    </row>
    <row r="34" spans="1:17" x14ac:dyDescent="0.25">
      <c r="A34" s="65" t="s">
        <v>18</v>
      </c>
      <c r="B34" s="61">
        <v>195</v>
      </c>
      <c r="C34" s="43">
        <v>15.62</v>
      </c>
      <c r="D34" s="43">
        <v>15.65</v>
      </c>
      <c r="E34" s="43">
        <v>15.79</v>
      </c>
      <c r="F34" s="43">
        <v>15.52</v>
      </c>
      <c r="G34" s="43">
        <v>16.04</v>
      </c>
      <c r="H34" s="43">
        <v>15.76</v>
      </c>
      <c r="I34" s="43">
        <v>16.03</v>
      </c>
      <c r="J34" s="43">
        <v>15.86</v>
      </c>
      <c r="K34" s="43">
        <v>16.16</v>
      </c>
      <c r="L34" s="43">
        <v>16.93</v>
      </c>
      <c r="M34" s="43">
        <v>16.88</v>
      </c>
      <c r="N34" s="43">
        <v>16.88</v>
      </c>
      <c r="O34" s="87">
        <f t="shared" si="3"/>
        <v>193.12</v>
      </c>
      <c r="P34" s="131">
        <f t="shared" si="4"/>
        <v>1.8799999999999955</v>
      </c>
    </row>
    <row r="35" spans="1:17" x14ac:dyDescent="0.25">
      <c r="A35" s="65" t="s">
        <v>19</v>
      </c>
      <c r="B35" s="61">
        <v>45</v>
      </c>
      <c r="I35" s="43"/>
      <c r="K35" s="43">
        <v>39.1</v>
      </c>
      <c r="O35" s="87">
        <f t="shared" si="3"/>
        <v>39.1</v>
      </c>
      <c r="P35" s="131">
        <f t="shared" si="4"/>
        <v>5.8999999999999986</v>
      </c>
      <c r="Q35" t="s">
        <v>270</v>
      </c>
    </row>
    <row r="36" spans="1:17" x14ac:dyDescent="0.25">
      <c r="A36" s="66" t="s">
        <v>165</v>
      </c>
      <c r="B36" s="61">
        <v>3240</v>
      </c>
      <c r="C36" s="43">
        <v>52.5</v>
      </c>
      <c r="D36" s="43">
        <v>52.6</v>
      </c>
      <c r="E36" s="43">
        <v>52.5</v>
      </c>
      <c r="F36" s="43">
        <v>52.5</v>
      </c>
      <c r="G36" s="43">
        <v>52.5</v>
      </c>
      <c r="H36" s="43">
        <v>115.5</v>
      </c>
      <c r="I36" s="43">
        <v>115.5</v>
      </c>
      <c r="J36" s="43">
        <v>115.5</v>
      </c>
      <c r="K36" s="43">
        <v>115.5</v>
      </c>
      <c r="L36" s="43">
        <v>115.5</v>
      </c>
      <c r="M36" s="43">
        <v>115.5</v>
      </c>
      <c r="N36" s="43">
        <v>115.5</v>
      </c>
      <c r="O36" s="87">
        <f t="shared" si="3"/>
        <v>1071.0999999999999</v>
      </c>
      <c r="P36" s="131">
        <f t="shared" si="4"/>
        <v>2168.9</v>
      </c>
    </row>
    <row r="37" spans="1:17" x14ac:dyDescent="0.25">
      <c r="A37" s="68" t="s">
        <v>30</v>
      </c>
      <c r="B37" s="61">
        <v>400</v>
      </c>
      <c r="F37" s="43"/>
      <c r="O37" s="87">
        <f t="shared" si="3"/>
        <v>0</v>
      </c>
      <c r="P37" s="131">
        <f t="shared" si="4"/>
        <v>400</v>
      </c>
      <c r="Q37" t="s">
        <v>74</v>
      </c>
    </row>
    <row r="38" spans="1:17" x14ac:dyDescent="0.25">
      <c r="A38" s="69" t="s">
        <v>116</v>
      </c>
      <c r="B38" s="61">
        <v>2000</v>
      </c>
      <c r="O38" s="87">
        <f t="shared" si="3"/>
        <v>0</v>
      </c>
      <c r="P38" s="131">
        <f t="shared" si="4"/>
        <v>2000</v>
      </c>
    </row>
    <row r="39" spans="1:17" x14ac:dyDescent="0.25">
      <c r="A39" s="65" t="s">
        <v>20</v>
      </c>
      <c r="B39" s="61">
        <v>400</v>
      </c>
      <c r="C39" s="43">
        <f>6+22.5</f>
        <v>28.5</v>
      </c>
      <c r="D39" s="43">
        <f>6+22.5+158.31</f>
        <v>186.81</v>
      </c>
      <c r="E39" s="43">
        <f>44.3+22.5+30.39</f>
        <v>97.19</v>
      </c>
      <c r="F39" s="43">
        <f>42.3+22.5</f>
        <v>64.8</v>
      </c>
      <c r="G39" s="43">
        <f>19.6+22.5+1.71</f>
        <v>43.81</v>
      </c>
      <c r="H39" s="43">
        <f>22.5+6.9+0.54</f>
        <v>29.939999999999998</v>
      </c>
      <c r="I39" s="43">
        <f>7.8+22.5</f>
        <v>30.3</v>
      </c>
      <c r="J39" s="43">
        <f>0.55+7.8+22.5</f>
        <v>30.85</v>
      </c>
      <c r="K39" s="43">
        <f>8.7+22.5</f>
        <v>31.2</v>
      </c>
      <c r="L39" s="43">
        <f>32.6+22.5</f>
        <v>55.1</v>
      </c>
      <c r="M39" s="43">
        <f>22.5+8.7</f>
        <v>31.2</v>
      </c>
      <c r="N39" s="43">
        <f>22.5+6.9</f>
        <v>29.4</v>
      </c>
      <c r="O39" s="87">
        <f t="shared" si="3"/>
        <v>659.10000000000014</v>
      </c>
      <c r="P39" s="131">
        <f t="shared" si="4"/>
        <v>-259.10000000000014</v>
      </c>
    </row>
    <row r="40" spans="1:17" x14ac:dyDescent="0.25">
      <c r="A40" s="65" t="s">
        <v>60</v>
      </c>
      <c r="B40" s="59">
        <v>1100</v>
      </c>
      <c r="C40" s="43">
        <f>13.29+34.47+95.93+89.35+24.83</f>
        <v>257.87</v>
      </c>
      <c r="D40" s="43">
        <f>12.98+21.11+27.53+52.62+23.97</f>
        <v>138.21</v>
      </c>
      <c r="E40" s="43">
        <f>4.47+20.84+48.42+30.16+182.25+44.25</f>
        <v>330.39</v>
      </c>
      <c r="F40" s="43">
        <f>51.33+322.09+578.91+16+4.4</f>
        <v>972.7299999999999</v>
      </c>
      <c r="G40" s="43">
        <v>46.81</v>
      </c>
      <c r="H40" s="32">
        <f>12.62+4.4+8.51</f>
        <v>25.53</v>
      </c>
      <c r="I40" s="43">
        <f>8.51+4.4</f>
        <v>12.91</v>
      </c>
      <c r="J40" s="43">
        <f>4.11+10.33</f>
        <v>14.440000000000001</v>
      </c>
      <c r="K40" s="43">
        <f>4.11+4.4+4.4+19.33</f>
        <v>32.24</v>
      </c>
      <c r="L40" s="43">
        <f>21.6+4.4</f>
        <v>26</v>
      </c>
      <c r="M40">
        <f>5.32+19.63+4.11+0.6+29.6</f>
        <v>59.260000000000005</v>
      </c>
      <c r="N40">
        <f>4.11+8.51</f>
        <v>12.620000000000001</v>
      </c>
      <c r="O40" s="87">
        <f t="shared" si="3"/>
        <v>1929.0099999999998</v>
      </c>
      <c r="P40" s="131">
        <f t="shared" si="4"/>
        <v>-829.00999999999976</v>
      </c>
      <c r="Q40" t="s">
        <v>74</v>
      </c>
    </row>
    <row r="41" spans="1:17" x14ac:dyDescent="0.25">
      <c r="A41" s="65" t="s">
        <v>21</v>
      </c>
      <c r="B41" s="58">
        <v>150</v>
      </c>
      <c r="C41" s="43">
        <v>29.64</v>
      </c>
      <c r="J41" s="43">
        <f>21.26+68.98</f>
        <v>90.240000000000009</v>
      </c>
      <c r="O41" s="87">
        <f t="shared" si="3"/>
        <v>119.88000000000001</v>
      </c>
      <c r="P41" s="131">
        <f t="shared" si="4"/>
        <v>30.11999999999999</v>
      </c>
    </row>
    <row r="42" spans="1:17" x14ac:dyDescent="0.25">
      <c r="A42" s="65" t="s">
        <v>22</v>
      </c>
      <c r="B42" s="58">
        <v>15</v>
      </c>
      <c r="E42" s="43">
        <v>12</v>
      </c>
      <c r="F42" s="43"/>
      <c r="O42" s="87">
        <f t="shared" si="3"/>
        <v>12</v>
      </c>
      <c r="P42" s="131">
        <f t="shared" si="4"/>
        <v>3</v>
      </c>
    </row>
    <row r="43" spans="1:17" x14ac:dyDescent="0.25">
      <c r="A43" s="65" t="s">
        <v>134</v>
      </c>
      <c r="B43" s="58">
        <v>2000</v>
      </c>
      <c r="F43" s="43"/>
      <c r="O43" s="87">
        <f t="shared" si="3"/>
        <v>0</v>
      </c>
      <c r="P43" s="131">
        <f t="shared" si="4"/>
        <v>2000</v>
      </c>
    </row>
    <row r="44" spans="1:17" x14ac:dyDescent="0.25">
      <c r="A44" s="66" t="s">
        <v>23</v>
      </c>
      <c r="B44" s="61">
        <v>350</v>
      </c>
      <c r="E44" s="43">
        <v>90.85</v>
      </c>
      <c r="O44" s="87">
        <f t="shared" si="3"/>
        <v>90.85</v>
      </c>
      <c r="P44" s="131">
        <f t="shared" si="4"/>
        <v>259.14999999999998</v>
      </c>
      <c r="Q44" t="s">
        <v>267</v>
      </c>
    </row>
    <row r="45" spans="1:17" x14ac:dyDescent="0.25">
      <c r="A45" s="66" t="s">
        <v>24</v>
      </c>
      <c r="B45" s="58">
        <v>300</v>
      </c>
      <c r="F45" s="43"/>
      <c r="I45" s="43"/>
      <c r="O45" s="87">
        <f t="shared" si="3"/>
        <v>0</v>
      </c>
      <c r="P45" s="131">
        <f t="shared" si="4"/>
        <v>300</v>
      </c>
    </row>
    <row r="46" spans="1:17" x14ac:dyDescent="0.25">
      <c r="A46" s="65" t="s">
        <v>25</v>
      </c>
      <c r="B46" s="58">
        <v>0</v>
      </c>
      <c r="O46" s="87">
        <f t="shared" si="3"/>
        <v>0</v>
      </c>
      <c r="P46" s="131">
        <f t="shared" si="4"/>
        <v>0</v>
      </c>
    </row>
    <row r="47" spans="1:17" x14ac:dyDescent="0.25">
      <c r="A47" s="65" t="s">
        <v>254</v>
      </c>
      <c r="B47" s="59">
        <v>6500</v>
      </c>
      <c r="H47" s="43">
        <f>1299.5+2245.79</f>
        <v>3545.29</v>
      </c>
      <c r="O47" s="87">
        <f t="shared" si="3"/>
        <v>3545.29</v>
      </c>
      <c r="P47" s="131">
        <f t="shared" si="4"/>
        <v>2954.71</v>
      </c>
    </row>
    <row r="48" spans="1:17" x14ac:dyDescent="0.25">
      <c r="A48" s="66" t="s">
        <v>26</v>
      </c>
      <c r="B48" s="59">
        <v>2600</v>
      </c>
      <c r="O48" s="88">
        <f t="shared" si="3"/>
        <v>0</v>
      </c>
      <c r="P48" s="131">
        <f t="shared" si="4"/>
        <v>2600</v>
      </c>
    </row>
    <row r="49" spans="1:16" x14ac:dyDescent="0.25">
      <c r="A49" s="66" t="s">
        <v>27</v>
      </c>
      <c r="B49" s="58">
        <v>0</v>
      </c>
      <c r="O49" s="88">
        <f t="shared" si="3"/>
        <v>0</v>
      </c>
      <c r="P49" s="131">
        <f t="shared" si="4"/>
        <v>0</v>
      </c>
    </row>
    <row r="50" spans="1:16" x14ac:dyDescent="0.25">
      <c r="A50" s="66" t="s">
        <v>74</v>
      </c>
      <c r="B50" s="119" t="s">
        <v>74</v>
      </c>
      <c r="O50" s="88" t="s">
        <v>74</v>
      </c>
      <c r="P50" s="47" t="s">
        <v>74</v>
      </c>
    </row>
    <row r="51" spans="1:16" ht="15.75" x14ac:dyDescent="0.25">
      <c r="A51" s="70" t="s">
        <v>43</v>
      </c>
      <c r="B51" s="71">
        <f>SUM(B31:B50)</f>
        <v>37295</v>
      </c>
      <c r="C51" s="47">
        <f t="shared" ref="C51:N51" si="5">SUM(C31:C49)</f>
        <v>2099.4399999999996</v>
      </c>
      <c r="D51" s="47">
        <f t="shared" si="5"/>
        <v>717.36000000000013</v>
      </c>
      <c r="E51" s="47">
        <f t="shared" si="5"/>
        <v>922.81000000000006</v>
      </c>
      <c r="F51" s="88">
        <f t="shared" si="5"/>
        <v>1429.6399999999999</v>
      </c>
      <c r="G51" s="88">
        <f t="shared" si="5"/>
        <v>483.25000000000006</v>
      </c>
      <c r="H51" s="88">
        <f t="shared" si="5"/>
        <v>11683.61</v>
      </c>
      <c r="I51" s="88">
        <f t="shared" si="5"/>
        <v>5018.7699999999995</v>
      </c>
      <c r="J51" s="88">
        <f t="shared" si="5"/>
        <v>600.58000000000004</v>
      </c>
      <c r="K51" s="88">
        <f t="shared" si="5"/>
        <v>560.92000000000007</v>
      </c>
      <c r="L51" s="88">
        <f t="shared" si="5"/>
        <v>540.25</v>
      </c>
      <c r="M51" s="88">
        <f t="shared" si="5"/>
        <v>549.56000000000006</v>
      </c>
      <c r="N51" s="88">
        <f t="shared" si="5"/>
        <v>501.12</v>
      </c>
      <c r="O51" s="88">
        <f t="shared" si="3"/>
        <v>25107.310000000005</v>
      </c>
      <c r="P51" s="47">
        <f t="shared" si="4"/>
        <v>12187.689999999995</v>
      </c>
    </row>
    <row r="52" spans="1:16" ht="15.75" x14ac:dyDescent="0.25">
      <c r="A52" s="70"/>
      <c r="B52" s="71"/>
      <c r="O52" s="88" t="s">
        <v>74</v>
      </c>
      <c r="P52" s="47" t="s">
        <v>74</v>
      </c>
    </row>
    <row r="53" spans="1:16" ht="18.75" x14ac:dyDescent="0.3">
      <c r="A53" s="2" t="s">
        <v>2</v>
      </c>
      <c r="B53" s="57"/>
      <c r="O53" s="87" t="s">
        <v>74</v>
      </c>
      <c r="P53" s="47" t="s">
        <v>74</v>
      </c>
    </row>
    <row r="54" spans="1:16" x14ac:dyDescent="0.25">
      <c r="A54" s="67" t="s">
        <v>68</v>
      </c>
      <c r="B54" s="62">
        <v>5200</v>
      </c>
      <c r="F54" s="43"/>
      <c r="G54" s="43"/>
      <c r="H54" s="43">
        <v>5152.8</v>
      </c>
      <c r="I54" s="43"/>
      <c r="O54" s="87">
        <f t="shared" si="3"/>
        <v>5152.8</v>
      </c>
      <c r="P54" s="131">
        <f t="shared" si="4"/>
        <v>47.199999999999818</v>
      </c>
    </row>
    <row r="55" spans="1:16" x14ac:dyDescent="0.25">
      <c r="A55" s="67" t="s">
        <v>28</v>
      </c>
      <c r="B55" s="62">
        <v>470</v>
      </c>
      <c r="J55" s="43">
        <v>469.2</v>
      </c>
      <c r="O55" s="87">
        <f t="shared" si="3"/>
        <v>469.2</v>
      </c>
      <c r="P55" s="131">
        <f t="shared" si="4"/>
        <v>0.80000000000001137</v>
      </c>
    </row>
    <row r="56" spans="1:16" x14ac:dyDescent="0.25">
      <c r="A56" s="67" t="s">
        <v>271</v>
      </c>
      <c r="B56" s="63">
        <v>100</v>
      </c>
      <c r="L56" s="43">
        <v>112</v>
      </c>
      <c r="O56" s="87">
        <f t="shared" si="3"/>
        <v>112</v>
      </c>
      <c r="P56" s="131">
        <f t="shared" si="4"/>
        <v>-12</v>
      </c>
    </row>
    <row r="57" spans="1:16" x14ac:dyDescent="0.25">
      <c r="A57" s="67" t="s">
        <v>72</v>
      </c>
      <c r="B57" s="63">
        <v>250</v>
      </c>
      <c r="C57" s="43">
        <v>49.4</v>
      </c>
      <c r="L57" s="43">
        <v>80.209999999999994</v>
      </c>
      <c r="O57" s="87">
        <f t="shared" si="3"/>
        <v>129.60999999999999</v>
      </c>
      <c r="P57" s="131">
        <f t="shared" si="4"/>
        <v>120.39000000000001</v>
      </c>
    </row>
    <row r="58" spans="1:16" ht="15.75" x14ac:dyDescent="0.25">
      <c r="A58" s="72" t="s">
        <v>43</v>
      </c>
      <c r="B58" s="78">
        <f>SUM(B54:B57)</f>
        <v>6020</v>
      </c>
      <c r="C58" s="47">
        <f>SUM(C54:C57)</f>
        <v>49.4</v>
      </c>
      <c r="D58" s="47">
        <f>SUM(D54:D56)</f>
        <v>0</v>
      </c>
      <c r="E58" s="47">
        <f t="shared" ref="E58:N58" si="6">SUM(E54:E57)</f>
        <v>0</v>
      </c>
      <c r="F58" s="88">
        <f t="shared" si="6"/>
        <v>0</v>
      </c>
      <c r="G58" s="88">
        <f t="shared" si="6"/>
        <v>0</v>
      </c>
      <c r="H58" s="88">
        <f t="shared" si="6"/>
        <v>5152.8</v>
      </c>
      <c r="I58" s="88">
        <f t="shared" si="6"/>
        <v>0</v>
      </c>
      <c r="J58" s="88">
        <f t="shared" si="6"/>
        <v>469.2</v>
      </c>
      <c r="K58" s="88">
        <f t="shared" si="6"/>
        <v>0</v>
      </c>
      <c r="L58" s="88">
        <f t="shared" si="6"/>
        <v>192.20999999999998</v>
      </c>
      <c r="M58" s="88">
        <f t="shared" si="6"/>
        <v>0</v>
      </c>
      <c r="N58" s="88">
        <f t="shared" si="6"/>
        <v>0</v>
      </c>
      <c r="O58" s="88">
        <f t="shared" si="3"/>
        <v>5863.61</v>
      </c>
      <c r="P58" s="47">
        <f t="shared" si="4"/>
        <v>156.39000000000033</v>
      </c>
    </row>
    <row r="59" spans="1:16" ht="15.75" x14ac:dyDescent="0.25">
      <c r="A59" s="8"/>
      <c r="B59" s="63"/>
      <c r="O59" s="88" t="s">
        <v>74</v>
      </c>
      <c r="P59" s="47" t="s">
        <v>74</v>
      </c>
    </row>
    <row r="60" spans="1:16" ht="18.75" x14ac:dyDescent="0.3">
      <c r="A60" s="9" t="s">
        <v>29</v>
      </c>
      <c r="B60" s="57"/>
      <c r="O60" s="88" t="s">
        <v>74</v>
      </c>
      <c r="P60" s="47" t="s">
        <v>74</v>
      </c>
    </row>
    <row r="61" spans="1:16" x14ac:dyDescent="0.25">
      <c r="A61" s="67" t="s">
        <v>54</v>
      </c>
      <c r="B61" s="122">
        <v>57724.89</v>
      </c>
      <c r="D61" s="43">
        <f>12995</f>
        <v>12995</v>
      </c>
      <c r="G61" s="43"/>
      <c r="H61" s="23">
        <v>39774.83</v>
      </c>
      <c r="O61" s="87">
        <f t="shared" si="3"/>
        <v>52769.83</v>
      </c>
      <c r="P61" s="131">
        <f t="shared" si="4"/>
        <v>4955.0599999999977</v>
      </c>
    </row>
    <row r="62" spans="1:16" x14ac:dyDescent="0.25">
      <c r="A62" s="67" t="s">
        <v>219</v>
      </c>
      <c r="B62" s="122">
        <v>10530</v>
      </c>
      <c r="C62"/>
      <c r="D62" s="43">
        <v>4293.95</v>
      </c>
      <c r="G62" s="43">
        <f>4338.98+2621.26</f>
        <v>6960.24</v>
      </c>
      <c r="H62" s="23"/>
      <c r="O62" s="87">
        <f t="shared" si="3"/>
        <v>11254.189999999999</v>
      </c>
      <c r="P62" s="131">
        <f t="shared" si="4"/>
        <v>-724.18999999999869</v>
      </c>
    </row>
    <row r="63" spans="1:16" x14ac:dyDescent="0.25">
      <c r="A63" s="67" t="s">
        <v>132</v>
      </c>
      <c r="B63" s="122">
        <v>6602.03</v>
      </c>
      <c r="F63" s="23">
        <v>6602.03</v>
      </c>
      <c r="G63" s="43"/>
      <c r="H63" s="23"/>
      <c r="O63" s="87">
        <f t="shared" si="3"/>
        <v>6602.03</v>
      </c>
      <c r="P63" s="131">
        <f t="shared" si="4"/>
        <v>0</v>
      </c>
    </row>
    <row r="64" spans="1:16" x14ac:dyDescent="0.25">
      <c r="A64" s="67" t="s">
        <v>133</v>
      </c>
      <c r="B64" s="122">
        <v>6000</v>
      </c>
      <c r="H64" s="23"/>
      <c r="K64" s="23">
        <v>3500</v>
      </c>
      <c r="L64" s="23">
        <v>2000</v>
      </c>
      <c r="M64">
        <v>500</v>
      </c>
      <c r="O64" s="87">
        <f t="shared" si="3"/>
        <v>6000</v>
      </c>
      <c r="P64" s="131">
        <f t="shared" si="4"/>
        <v>0</v>
      </c>
    </row>
    <row r="65" spans="1:16" x14ac:dyDescent="0.25">
      <c r="A65" s="67" t="s">
        <v>31</v>
      </c>
      <c r="B65" s="122">
        <v>2500</v>
      </c>
      <c r="E65" s="43">
        <v>2642.15</v>
      </c>
      <c r="F65" s="43">
        <f>722.73+4304.62</f>
        <v>5027.3500000000004</v>
      </c>
      <c r="G65" s="43"/>
      <c r="H65" s="26"/>
      <c r="O65" s="87">
        <f t="shared" si="3"/>
        <v>7669.5</v>
      </c>
      <c r="P65" s="131">
        <f t="shared" si="4"/>
        <v>-5169.5</v>
      </c>
    </row>
    <row r="66" spans="1:16" x14ac:dyDescent="0.25">
      <c r="A66" s="67" t="s">
        <v>138</v>
      </c>
      <c r="B66" s="122">
        <v>200</v>
      </c>
      <c r="H66" s="23"/>
      <c r="O66" s="87">
        <f t="shared" si="3"/>
        <v>0</v>
      </c>
      <c r="P66" s="131">
        <f t="shared" si="4"/>
        <v>200</v>
      </c>
    </row>
    <row r="67" spans="1:16" x14ac:dyDescent="0.25">
      <c r="A67" s="67" t="s">
        <v>139</v>
      </c>
      <c r="B67" s="122">
        <v>150</v>
      </c>
      <c r="O67" s="87">
        <f t="shared" si="3"/>
        <v>0</v>
      </c>
      <c r="P67" s="131">
        <f t="shared" si="4"/>
        <v>150</v>
      </c>
    </row>
    <row r="68" spans="1:16" x14ac:dyDescent="0.25">
      <c r="A68" s="67" t="s">
        <v>264</v>
      </c>
      <c r="B68" s="122">
        <v>2200</v>
      </c>
      <c r="H68" s="23">
        <v>1350</v>
      </c>
      <c r="O68" s="87">
        <f t="shared" si="3"/>
        <v>1350</v>
      </c>
      <c r="P68" s="131">
        <f t="shared" si="4"/>
        <v>850</v>
      </c>
    </row>
    <row r="69" spans="1:16" x14ac:dyDescent="0.25">
      <c r="A69" s="67" t="s">
        <v>141</v>
      </c>
      <c r="B69" s="122">
        <v>480</v>
      </c>
      <c r="O69" s="88">
        <f t="shared" si="3"/>
        <v>0</v>
      </c>
      <c r="P69" s="131">
        <f t="shared" si="4"/>
        <v>480</v>
      </c>
    </row>
    <row r="70" spans="1:16" ht="15.75" x14ac:dyDescent="0.25">
      <c r="A70" s="72" t="s">
        <v>43</v>
      </c>
      <c r="B70" s="123">
        <f>SUM(B60:B69)</f>
        <v>86386.92</v>
      </c>
      <c r="C70" s="43">
        <f>SUM(C61:C69)</f>
        <v>0</v>
      </c>
      <c r="D70" s="47">
        <f>SUM(D61:D69)</f>
        <v>17288.95</v>
      </c>
      <c r="E70" s="47">
        <f>SUM(E61:E69)</f>
        <v>2642.15</v>
      </c>
      <c r="F70" s="47">
        <f t="shared" ref="F70:N70" si="7">SUM(F61:F69)</f>
        <v>11629.380000000001</v>
      </c>
      <c r="G70" s="47">
        <f t="shared" si="7"/>
        <v>6960.24</v>
      </c>
      <c r="H70" s="47">
        <f t="shared" si="7"/>
        <v>41124.83</v>
      </c>
      <c r="I70" s="47">
        <f t="shared" si="7"/>
        <v>0</v>
      </c>
      <c r="J70" s="47">
        <f t="shared" si="7"/>
        <v>0</v>
      </c>
      <c r="K70" s="47">
        <f t="shared" si="7"/>
        <v>3500</v>
      </c>
      <c r="L70" s="47">
        <f t="shared" si="7"/>
        <v>2000</v>
      </c>
      <c r="M70" s="47">
        <f t="shared" si="7"/>
        <v>500</v>
      </c>
      <c r="N70" s="47">
        <f t="shared" si="7"/>
        <v>0</v>
      </c>
      <c r="O70" s="88">
        <f t="shared" si="3"/>
        <v>85645.55</v>
      </c>
      <c r="P70" s="47">
        <f t="shared" si="4"/>
        <v>741.36999999999534</v>
      </c>
    </row>
    <row r="71" spans="1:16" x14ac:dyDescent="0.25">
      <c r="B71" s="43" t="s">
        <v>74</v>
      </c>
      <c r="O71" s="88" t="s">
        <v>74</v>
      </c>
      <c r="P71" s="47" t="s">
        <v>74</v>
      </c>
    </row>
    <row r="72" spans="1:16" ht="18.75" x14ac:dyDescent="0.3">
      <c r="A72" s="9" t="s">
        <v>35</v>
      </c>
      <c r="B72" s="51"/>
      <c r="O72" s="88" t="s">
        <v>74</v>
      </c>
      <c r="P72" s="47" t="s">
        <v>74</v>
      </c>
    </row>
    <row r="73" spans="1:16" ht="15.75" x14ac:dyDescent="0.25">
      <c r="A73" s="10" t="s">
        <v>80</v>
      </c>
      <c r="B73" s="17">
        <v>1500</v>
      </c>
      <c r="F73" s="43"/>
      <c r="G73" s="43"/>
      <c r="H73" s="97"/>
      <c r="I73" s="15"/>
      <c r="O73" s="88">
        <f t="shared" si="3"/>
        <v>0</v>
      </c>
      <c r="P73" s="131">
        <f t="shared" si="4"/>
        <v>1500</v>
      </c>
    </row>
    <row r="74" spans="1:16" ht="15.75" x14ac:dyDescent="0.25">
      <c r="A74" s="10" t="s">
        <v>252</v>
      </c>
      <c r="B74" s="17">
        <v>0</v>
      </c>
      <c r="C74" s="43">
        <v>1691.38</v>
      </c>
      <c r="F74" s="43"/>
      <c r="G74" s="43"/>
      <c r="H74" s="97"/>
      <c r="I74" s="15"/>
      <c r="O74" s="87">
        <f t="shared" si="3"/>
        <v>1691.38</v>
      </c>
      <c r="P74" s="131">
        <f t="shared" si="4"/>
        <v>-1691.38</v>
      </c>
    </row>
    <row r="75" spans="1:16" ht="15.75" x14ac:dyDescent="0.25">
      <c r="A75" s="10" t="s">
        <v>79</v>
      </c>
      <c r="B75" s="17">
        <v>1500</v>
      </c>
      <c r="D75" s="43">
        <v>500</v>
      </c>
      <c r="E75" s="43">
        <v>500</v>
      </c>
      <c r="H75" s="96"/>
      <c r="I75" s="15"/>
      <c r="L75" t="s">
        <v>74</v>
      </c>
      <c r="M75">
        <v>500</v>
      </c>
      <c r="O75" s="87">
        <f t="shared" si="3"/>
        <v>1500</v>
      </c>
      <c r="P75" s="131">
        <f t="shared" si="4"/>
        <v>0</v>
      </c>
    </row>
    <row r="76" spans="1:16" ht="15.75" x14ac:dyDescent="0.25">
      <c r="A76" s="10" t="s">
        <v>113</v>
      </c>
      <c r="B76" s="17">
        <v>7791</v>
      </c>
      <c r="C76" s="43">
        <f>3398.5</f>
        <v>3398.5</v>
      </c>
      <c r="D76" s="43">
        <v>3898.5</v>
      </c>
      <c r="H76" s="96"/>
      <c r="I76" s="15"/>
      <c r="L76" s="23">
        <v>3898.5</v>
      </c>
      <c r="O76" s="87">
        <f t="shared" si="3"/>
        <v>11195.5</v>
      </c>
      <c r="P76" s="131">
        <f t="shared" si="4"/>
        <v>-3404.5</v>
      </c>
    </row>
    <row r="77" spans="1:16" ht="15.75" x14ac:dyDescent="0.25">
      <c r="A77" s="10" t="s">
        <v>112</v>
      </c>
      <c r="B77" s="17">
        <v>3426.8</v>
      </c>
      <c r="C77" s="43">
        <f>1243+147.78+1356</f>
        <v>2746.7799999999997</v>
      </c>
      <c r="D77" s="43">
        <v>202.11</v>
      </c>
      <c r="H77" s="96"/>
      <c r="I77" s="15"/>
      <c r="L77" s="23">
        <v>584.21</v>
      </c>
      <c r="O77" s="87">
        <f t="shared" si="3"/>
        <v>3533.1</v>
      </c>
      <c r="P77" s="131">
        <f t="shared" si="4"/>
        <v>-106.29999999999973</v>
      </c>
    </row>
    <row r="78" spans="1:16" ht="15.75" x14ac:dyDescent="0.25">
      <c r="A78" s="10" t="s">
        <v>81</v>
      </c>
      <c r="B78" s="17">
        <v>1800</v>
      </c>
      <c r="C78" s="43" t="s">
        <v>74</v>
      </c>
      <c r="H78" s="96"/>
      <c r="I78" s="15"/>
      <c r="O78" s="87">
        <f t="shared" si="3"/>
        <v>0</v>
      </c>
      <c r="P78" s="131">
        <f t="shared" si="4"/>
        <v>1800</v>
      </c>
    </row>
    <row r="79" spans="1:16" ht="15.75" x14ac:dyDescent="0.25">
      <c r="A79" s="10" t="s">
        <v>76</v>
      </c>
      <c r="B79" s="17">
        <v>1800</v>
      </c>
      <c r="C79" s="43">
        <v>389.52</v>
      </c>
      <c r="D79" s="43">
        <f>841.65+534.85</f>
        <v>1376.5</v>
      </c>
      <c r="F79" s="43"/>
      <c r="G79" s="43"/>
      <c r="H79" s="96"/>
      <c r="I79" s="15"/>
      <c r="L79" s="87"/>
      <c r="M79" s="87"/>
      <c r="N79" s="87"/>
      <c r="O79" s="87">
        <f t="shared" si="3"/>
        <v>1766.02</v>
      </c>
      <c r="P79" s="131">
        <f t="shared" si="4"/>
        <v>33.980000000000018</v>
      </c>
    </row>
    <row r="80" spans="1:16" ht="15.75" x14ac:dyDescent="0.25">
      <c r="A80" s="10" t="s">
        <v>77</v>
      </c>
      <c r="B80" s="17">
        <v>1695</v>
      </c>
      <c r="D80" s="43">
        <f>565+565</f>
        <v>1130</v>
      </c>
      <c r="F80" s="43"/>
      <c r="G80" s="43"/>
      <c r="H80" s="98"/>
      <c r="I80" s="15"/>
      <c r="L80" t="s">
        <v>74</v>
      </c>
      <c r="M80">
        <v>565</v>
      </c>
      <c r="O80" s="87">
        <f t="shared" si="3"/>
        <v>1695</v>
      </c>
      <c r="P80" s="131">
        <f t="shared" si="4"/>
        <v>0</v>
      </c>
    </row>
    <row r="81" spans="1:16" ht="15.75" x14ac:dyDescent="0.25">
      <c r="A81" s="10" t="s">
        <v>82</v>
      </c>
      <c r="B81" s="17">
        <v>1695</v>
      </c>
      <c r="F81" s="43"/>
      <c r="H81" s="32"/>
      <c r="I81" s="32"/>
      <c r="O81" s="88">
        <f t="shared" si="3"/>
        <v>0</v>
      </c>
      <c r="P81" s="131">
        <f t="shared" si="4"/>
        <v>1695</v>
      </c>
    </row>
    <row r="82" spans="1:16" ht="15.75" x14ac:dyDescent="0.25">
      <c r="A82" s="13" t="s">
        <v>43</v>
      </c>
      <c r="B82" s="71">
        <f t="shared" ref="B82:M82" si="8">SUM(B73:B81)</f>
        <v>21207.8</v>
      </c>
      <c r="C82" s="71">
        <f t="shared" si="8"/>
        <v>8226.18</v>
      </c>
      <c r="D82" s="47">
        <f t="shared" si="8"/>
        <v>7107.11</v>
      </c>
      <c r="E82" s="47">
        <f t="shared" si="8"/>
        <v>500</v>
      </c>
      <c r="F82" s="88">
        <f t="shared" si="8"/>
        <v>0</v>
      </c>
      <c r="G82" s="88">
        <f t="shared" si="8"/>
        <v>0</v>
      </c>
      <c r="H82" s="88">
        <f t="shared" si="8"/>
        <v>0</v>
      </c>
      <c r="I82" s="88">
        <f t="shared" si="8"/>
        <v>0</v>
      </c>
      <c r="J82" s="88">
        <f t="shared" si="8"/>
        <v>0</v>
      </c>
      <c r="K82" s="88">
        <f t="shared" si="8"/>
        <v>0</v>
      </c>
      <c r="L82" s="88">
        <f t="shared" si="8"/>
        <v>4482.71</v>
      </c>
      <c r="M82" s="88">
        <f t="shared" si="8"/>
        <v>1065</v>
      </c>
      <c r="O82" s="88">
        <f t="shared" si="3"/>
        <v>21381</v>
      </c>
      <c r="P82" s="47">
        <f t="shared" si="4"/>
        <v>-173.20000000000073</v>
      </c>
    </row>
    <row r="83" spans="1:16" x14ac:dyDescent="0.25">
      <c r="B83" s="58"/>
      <c r="H83" s="32"/>
      <c r="I83" s="33"/>
    </row>
    <row r="84" spans="1:16" ht="18.75" x14ac:dyDescent="0.3">
      <c r="A84" s="11" t="s">
        <v>32</v>
      </c>
      <c r="B84" s="12">
        <f t="shared" ref="B84:L84" si="9">SUM(B51+B58+B70+B82)</f>
        <v>150909.72</v>
      </c>
      <c r="C84" s="85">
        <f t="shared" si="9"/>
        <v>10375.02</v>
      </c>
      <c r="D84" s="85">
        <f t="shared" si="9"/>
        <v>25113.420000000002</v>
      </c>
      <c r="E84" s="85">
        <f t="shared" si="9"/>
        <v>4064.96</v>
      </c>
      <c r="F84" s="91">
        <f t="shared" si="9"/>
        <v>13059.02</v>
      </c>
      <c r="G84" s="91">
        <f t="shared" si="9"/>
        <v>7443.49</v>
      </c>
      <c r="H84" s="91">
        <f t="shared" si="9"/>
        <v>57961.240000000005</v>
      </c>
      <c r="I84" s="91">
        <f t="shared" si="9"/>
        <v>5018.7699999999995</v>
      </c>
      <c r="J84" s="91">
        <f t="shared" si="9"/>
        <v>1069.78</v>
      </c>
      <c r="K84" s="91">
        <f t="shared" si="9"/>
        <v>4060.92</v>
      </c>
      <c r="L84" s="91">
        <f t="shared" si="9"/>
        <v>7215.17</v>
      </c>
      <c r="M84" s="91">
        <f t="shared" ref="M84:N84" si="10">SUM(M51+M58+M70+M82)</f>
        <v>2114.56</v>
      </c>
      <c r="N84" s="91">
        <f t="shared" si="10"/>
        <v>501.12</v>
      </c>
      <c r="O84" s="91">
        <f>SUM(C84:N84)</f>
        <v>137997.47</v>
      </c>
      <c r="P84" s="85">
        <f>SUM(B84-O84)</f>
        <v>12912.25</v>
      </c>
    </row>
    <row r="85" spans="1:16" x14ac:dyDescent="0.25">
      <c r="B85" s="58"/>
      <c r="C85" s="43">
        <v>0</v>
      </c>
      <c r="D85" s="43">
        <v>0</v>
      </c>
      <c r="H85" s="32"/>
      <c r="I85" s="32"/>
    </row>
    <row r="86" spans="1:16" ht="18.75" x14ac:dyDescent="0.3">
      <c r="A86" s="3" t="s">
        <v>4</v>
      </c>
      <c r="B86" s="58"/>
      <c r="H86" s="32"/>
      <c r="I86" s="32"/>
    </row>
    <row r="87" spans="1:16" x14ac:dyDescent="0.25">
      <c r="A87" t="s">
        <v>61</v>
      </c>
      <c r="K87" s="28"/>
    </row>
    <row r="88" spans="1:16" x14ac:dyDescent="0.25">
      <c r="B88" s="119" t="s">
        <v>74</v>
      </c>
    </row>
    <row r="89" spans="1:16" ht="15.75" x14ac:dyDescent="0.25">
      <c r="A89" s="28"/>
      <c r="B89" s="77"/>
    </row>
    <row r="92" spans="1:16" ht="21" x14ac:dyDescent="0.35">
      <c r="A92" s="109" t="s">
        <v>131</v>
      </c>
      <c r="B92" s="110">
        <f>B20-B84</f>
        <v>7725.2799999999988</v>
      </c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</row>
  </sheetData>
  <printOptions gridLines="1"/>
  <pageMargins left="0.7" right="0.7" top="0.75" bottom="0.75" header="0.3" footer="0.3"/>
  <pageSetup paperSize="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6"/>
  <sheetViews>
    <sheetView topLeftCell="A28" workbookViewId="0">
      <selection activeCell="D26" sqref="D26"/>
    </sheetView>
  </sheetViews>
  <sheetFormatPr defaultRowHeight="15" x14ac:dyDescent="0.25"/>
  <cols>
    <col min="1" max="1" width="40.7109375" customWidth="1"/>
    <col min="2" max="2" width="23.42578125" customWidth="1"/>
    <col min="3" max="3" width="19.7109375" customWidth="1"/>
    <col min="4" max="4" width="17.7109375" customWidth="1"/>
    <col min="5" max="5" width="22.28515625" customWidth="1"/>
    <col min="6" max="6" width="22.42578125" customWidth="1"/>
    <col min="7" max="7" width="61.7109375" customWidth="1"/>
  </cols>
  <sheetData>
    <row r="1" spans="1:9" ht="18.75" x14ac:dyDescent="0.3">
      <c r="A1" s="4" t="s">
        <v>40</v>
      </c>
      <c r="B1" s="24" t="s">
        <v>1</v>
      </c>
      <c r="C1" s="101" t="s">
        <v>107</v>
      </c>
      <c r="D1" s="14" t="s">
        <v>108</v>
      </c>
      <c r="E1" s="14"/>
      <c r="F1" s="14"/>
      <c r="G1" s="100" t="s">
        <v>226</v>
      </c>
    </row>
    <row r="2" spans="1:9" x14ac:dyDescent="0.25">
      <c r="A2" t="s">
        <v>106</v>
      </c>
      <c r="B2" s="113">
        <v>22375</v>
      </c>
      <c r="C2" s="43" t="s">
        <v>74</v>
      </c>
      <c r="G2" t="s">
        <v>74</v>
      </c>
    </row>
    <row r="3" spans="1:9" x14ac:dyDescent="0.25">
      <c r="A3" s="19" t="s">
        <v>8</v>
      </c>
      <c r="B3" s="113">
        <v>25000</v>
      </c>
      <c r="C3" s="43" t="s">
        <v>74</v>
      </c>
    </row>
    <row r="4" spans="1:9" x14ac:dyDescent="0.25">
      <c r="A4" s="19" t="s">
        <v>10</v>
      </c>
      <c r="B4" s="115">
        <v>23000</v>
      </c>
      <c r="C4" s="43" t="s">
        <v>74</v>
      </c>
    </row>
    <row r="5" spans="1:9" x14ac:dyDescent="0.25">
      <c r="A5" s="19"/>
      <c r="B5" s="23"/>
    </row>
    <row r="6" spans="1:9" ht="18.75" x14ac:dyDescent="0.3">
      <c r="A6" s="4" t="s">
        <v>12</v>
      </c>
      <c r="B6" s="5">
        <f>SUM(B2:B5)</f>
        <v>70375</v>
      </c>
      <c r="C6" s="92">
        <f>SUM(C2:C5)</f>
        <v>0</v>
      </c>
      <c r="D6" s="14"/>
      <c r="E6" s="14"/>
      <c r="F6" s="14"/>
      <c r="G6" s="14"/>
      <c r="H6" s="14"/>
      <c r="I6" s="14"/>
    </row>
    <row r="7" spans="1:9" ht="18.75" x14ac:dyDescent="0.3">
      <c r="A7" s="6"/>
      <c r="B7" s="53"/>
    </row>
    <row r="8" spans="1:9" ht="18.75" x14ac:dyDescent="0.3">
      <c r="A8" s="6"/>
      <c r="B8" s="53"/>
    </row>
    <row r="9" spans="1:9" ht="18.75" x14ac:dyDescent="0.3">
      <c r="A9" s="11" t="s">
        <v>41</v>
      </c>
      <c r="B9" s="25" t="s">
        <v>42</v>
      </c>
      <c r="C9" s="22"/>
      <c r="D9" s="22"/>
      <c r="E9" s="22"/>
      <c r="F9" s="22"/>
      <c r="G9" s="22"/>
    </row>
    <row r="10" spans="1:9" x14ac:dyDescent="0.25">
      <c r="A10" s="67" t="s">
        <v>54</v>
      </c>
      <c r="B10" s="114">
        <v>57724.89</v>
      </c>
      <c r="C10" s="43" t="s">
        <v>74</v>
      </c>
    </row>
    <row r="11" spans="1:9" x14ac:dyDescent="0.25">
      <c r="A11" s="67" t="s">
        <v>132</v>
      </c>
      <c r="B11" s="114">
        <v>6602.03</v>
      </c>
      <c r="C11" s="43" t="s">
        <v>74</v>
      </c>
    </row>
    <row r="12" spans="1:9" x14ac:dyDescent="0.25">
      <c r="A12" s="67" t="s">
        <v>133</v>
      </c>
      <c r="B12" s="114">
        <v>6000</v>
      </c>
      <c r="C12" s="32" t="s">
        <v>74</v>
      </c>
      <c r="G12" t="s">
        <v>74</v>
      </c>
    </row>
    <row r="13" spans="1:9" x14ac:dyDescent="0.25">
      <c r="A13" s="67" t="s">
        <v>31</v>
      </c>
      <c r="B13" s="114">
        <v>2500</v>
      </c>
      <c r="C13" s="43" t="s">
        <v>74</v>
      </c>
    </row>
    <row r="14" spans="1:9" x14ac:dyDescent="0.25">
      <c r="A14" s="67" t="s">
        <v>138</v>
      </c>
      <c r="B14" s="114">
        <v>200</v>
      </c>
    </row>
    <row r="15" spans="1:9" x14ac:dyDescent="0.25">
      <c r="A15" s="67" t="s">
        <v>139</v>
      </c>
      <c r="B15" s="114">
        <v>150</v>
      </c>
    </row>
    <row r="16" spans="1:9" x14ac:dyDescent="0.25">
      <c r="A16" s="67" t="s">
        <v>140</v>
      </c>
      <c r="B16" s="114">
        <v>2200</v>
      </c>
    </row>
    <row r="17" spans="1:7" x14ac:dyDescent="0.25">
      <c r="A17" s="67" t="s">
        <v>141</v>
      </c>
      <c r="B17" s="114">
        <v>480</v>
      </c>
    </row>
    <row r="18" spans="1:7" x14ac:dyDescent="0.25">
      <c r="A18" s="29" t="s">
        <v>222</v>
      </c>
      <c r="B18" s="114">
        <v>10530</v>
      </c>
    </row>
    <row r="20" spans="1:7" ht="18.75" x14ac:dyDescent="0.3">
      <c r="A20" s="11" t="s">
        <v>32</v>
      </c>
      <c r="B20" s="54">
        <f>SUM(B10:B19)</f>
        <v>86386.92</v>
      </c>
      <c r="C20" s="54">
        <f>SUM(C10:C19)</f>
        <v>0</v>
      </c>
      <c r="D20" s="22"/>
      <c r="E20" s="22"/>
      <c r="F20" s="22"/>
      <c r="G20" s="22"/>
    </row>
    <row r="21" spans="1:7" x14ac:dyDescent="0.25">
      <c r="A21" t="s">
        <v>164</v>
      </c>
    </row>
    <row r="23" spans="1:7" x14ac:dyDescent="0.25">
      <c r="A23" s="112" t="s">
        <v>45</v>
      </c>
      <c r="B23" s="112" t="s">
        <v>46</v>
      </c>
      <c r="C23" s="112" t="s">
        <v>52</v>
      </c>
      <c r="D23" s="112" t="s">
        <v>48</v>
      </c>
    </row>
    <row r="24" spans="1:7" x14ac:dyDescent="0.25">
      <c r="A24" s="29" t="s">
        <v>54</v>
      </c>
      <c r="B24" s="103">
        <v>57724.89</v>
      </c>
      <c r="C24" s="29">
        <v>1</v>
      </c>
      <c r="D24" s="29">
        <f>B24*C24</f>
        <v>57724.89</v>
      </c>
    </row>
    <row r="25" spans="1:7" x14ac:dyDescent="0.25">
      <c r="A25" s="29" t="s">
        <v>132</v>
      </c>
      <c r="B25" s="29">
        <f>6602.03</f>
        <v>6602.03</v>
      </c>
      <c r="C25" s="29">
        <v>1</v>
      </c>
      <c r="D25" s="29">
        <f>B25*C25</f>
        <v>6602.03</v>
      </c>
    </row>
    <row r="26" spans="1:7" x14ac:dyDescent="0.25">
      <c r="A26" s="29" t="s">
        <v>133</v>
      </c>
      <c r="B26" s="29">
        <v>500</v>
      </c>
      <c r="C26" s="29">
        <v>8</v>
      </c>
      <c r="D26" s="29">
        <v>6000</v>
      </c>
    </row>
    <row r="27" spans="1:7" x14ac:dyDescent="0.25">
      <c r="A27" s="29" t="s">
        <v>31</v>
      </c>
      <c r="B27" s="29">
        <v>2500</v>
      </c>
      <c r="C27" s="29">
        <v>1</v>
      </c>
      <c r="D27" s="29">
        <f t="shared" ref="D27:D32" si="0">B27*C27</f>
        <v>2500</v>
      </c>
    </row>
    <row r="28" spans="1:7" x14ac:dyDescent="0.25">
      <c r="A28" s="29" t="s">
        <v>138</v>
      </c>
      <c r="B28" s="29">
        <v>200</v>
      </c>
      <c r="C28" s="29">
        <v>1</v>
      </c>
      <c r="D28" s="29">
        <f t="shared" si="0"/>
        <v>200</v>
      </c>
    </row>
    <row r="29" spans="1:7" x14ac:dyDescent="0.25">
      <c r="A29" s="29" t="s">
        <v>139</v>
      </c>
      <c r="B29" s="29">
        <v>50</v>
      </c>
      <c r="C29" s="29">
        <v>3</v>
      </c>
      <c r="D29" s="29">
        <f t="shared" si="0"/>
        <v>150</v>
      </c>
    </row>
    <row r="30" spans="1:7" x14ac:dyDescent="0.25">
      <c r="A30" s="29" t="s">
        <v>140</v>
      </c>
      <c r="B30" s="29">
        <v>2200</v>
      </c>
      <c r="C30" s="29">
        <v>1</v>
      </c>
      <c r="D30" s="29">
        <f t="shared" si="0"/>
        <v>2200</v>
      </c>
    </row>
    <row r="31" spans="1:7" x14ac:dyDescent="0.25">
      <c r="A31" s="29" t="s">
        <v>141</v>
      </c>
      <c r="B31" s="29">
        <f>40*12</f>
        <v>480</v>
      </c>
      <c r="C31" s="29">
        <v>1</v>
      </c>
      <c r="D31" s="29">
        <f t="shared" si="0"/>
        <v>480</v>
      </c>
    </row>
    <row r="32" spans="1:7" x14ac:dyDescent="0.25">
      <c r="A32" s="29" t="s">
        <v>222</v>
      </c>
      <c r="B32" s="122">
        <v>10530</v>
      </c>
      <c r="C32" s="29">
        <v>1</v>
      </c>
      <c r="D32" s="29">
        <f t="shared" si="0"/>
        <v>10530</v>
      </c>
    </row>
    <row r="33" spans="1:4" ht="15.75" thickBot="1" x14ac:dyDescent="0.3">
      <c r="A33" s="28" t="s">
        <v>43</v>
      </c>
      <c r="B33" s="28"/>
      <c r="C33" s="28"/>
      <c r="D33" s="45">
        <f>SUM(D24:D32)</f>
        <v>86386.92</v>
      </c>
    </row>
    <row r="34" spans="1:4" ht="15.75" thickTop="1" x14ac:dyDescent="0.25"/>
    <row r="35" spans="1:4" x14ac:dyDescent="0.25">
      <c r="A35" s="112" t="s">
        <v>223</v>
      </c>
      <c r="B35" s="112" t="s">
        <v>143</v>
      </c>
    </row>
    <row r="36" spans="1:4" x14ac:dyDescent="0.25">
      <c r="A36" s="29" t="s">
        <v>224</v>
      </c>
      <c r="B36" s="29">
        <f>D25</f>
        <v>6602.03</v>
      </c>
      <c r="C36" s="116"/>
    </row>
    <row r="37" spans="1:4" x14ac:dyDescent="0.25">
      <c r="A37" s="29" t="s">
        <v>141</v>
      </c>
      <c r="B37" s="29">
        <f>D30</f>
        <v>2200</v>
      </c>
      <c r="C37" s="116"/>
    </row>
    <row r="38" spans="1:4" x14ac:dyDescent="0.25">
      <c r="A38" s="29" t="s">
        <v>222</v>
      </c>
      <c r="B38" s="29">
        <f>D31</f>
        <v>480</v>
      </c>
      <c r="C38" s="116"/>
    </row>
    <row r="39" spans="1:4" x14ac:dyDescent="0.25">
      <c r="A39" s="29" t="s">
        <v>145</v>
      </c>
      <c r="B39" s="29">
        <f>25000-SUM(B36:B38)</f>
        <v>15717.970000000001</v>
      </c>
      <c r="C39" s="116"/>
    </row>
    <row r="40" spans="1:4" x14ac:dyDescent="0.25">
      <c r="A40" s="107" t="s">
        <v>56</v>
      </c>
      <c r="B40" s="107">
        <f>SUM(B36:B39)</f>
        <v>25000</v>
      </c>
    </row>
    <row r="42" spans="1:4" x14ac:dyDescent="0.25">
      <c r="A42" s="112" t="s">
        <v>142</v>
      </c>
      <c r="B42" s="112" t="s">
        <v>143</v>
      </c>
    </row>
    <row r="43" spans="1:4" x14ac:dyDescent="0.25">
      <c r="A43" s="29" t="s">
        <v>144</v>
      </c>
      <c r="B43" s="29">
        <v>6602</v>
      </c>
      <c r="C43" s="116"/>
    </row>
    <row r="44" spans="1:4" x14ac:dyDescent="0.25">
      <c r="A44" s="29" t="s">
        <v>31</v>
      </c>
      <c r="B44" s="29">
        <v>2500</v>
      </c>
      <c r="C44" s="116"/>
    </row>
    <row r="45" spans="1:4" x14ac:dyDescent="0.25">
      <c r="A45" s="29" t="s">
        <v>55</v>
      </c>
      <c r="B45" s="29"/>
      <c r="C45" s="116"/>
    </row>
    <row r="46" spans="1:4" x14ac:dyDescent="0.25">
      <c r="A46" s="29" t="s">
        <v>145</v>
      </c>
      <c r="B46" s="29">
        <v>15898</v>
      </c>
      <c r="C46" s="116"/>
    </row>
    <row r="47" spans="1:4" x14ac:dyDescent="0.25">
      <c r="A47" s="107" t="s">
        <v>56</v>
      </c>
      <c r="B47" s="107">
        <f>SUM(B43:B46)</f>
        <v>25000</v>
      </c>
    </row>
    <row r="49" spans="1:4" x14ac:dyDescent="0.25">
      <c r="A49" s="28" t="s">
        <v>146</v>
      </c>
    </row>
    <row r="50" spans="1:4" x14ac:dyDescent="0.25">
      <c r="A50" s="117" t="s">
        <v>147</v>
      </c>
      <c r="B50" s="117" t="s">
        <v>148</v>
      </c>
      <c r="C50" s="117" t="s">
        <v>149</v>
      </c>
      <c r="D50" s="117" t="s">
        <v>43</v>
      </c>
    </row>
    <row r="51" spans="1:4" x14ac:dyDescent="0.25">
      <c r="A51" s="29" t="s">
        <v>150</v>
      </c>
      <c r="B51" s="29">
        <v>50</v>
      </c>
      <c r="C51" s="29">
        <f>184/2</f>
        <v>92</v>
      </c>
      <c r="D51" s="29">
        <f t="shared" ref="D51:D63" si="1">B51*C51</f>
        <v>4600</v>
      </c>
    </row>
    <row r="52" spans="1:4" x14ac:dyDescent="0.25">
      <c r="A52" s="29" t="s">
        <v>151</v>
      </c>
      <c r="B52" s="29">
        <v>100</v>
      </c>
      <c r="C52" s="29">
        <f>94/2</f>
        <v>47</v>
      </c>
      <c r="D52" s="29">
        <f t="shared" si="1"/>
        <v>4700</v>
      </c>
    </row>
    <row r="53" spans="1:4" x14ac:dyDescent="0.25">
      <c r="A53" s="29" t="s">
        <v>152</v>
      </c>
      <c r="B53" s="29">
        <v>10</v>
      </c>
      <c r="C53" s="29">
        <v>21</v>
      </c>
      <c r="D53" s="29">
        <f t="shared" si="1"/>
        <v>210</v>
      </c>
    </row>
    <row r="54" spans="1:4" x14ac:dyDescent="0.25">
      <c r="A54" s="29" t="s">
        <v>153</v>
      </c>
      <c r="B54" s="29">
        <v>0</v>
      </c>
      <c r="C54" s="29">
        <v>21</v>
      </c>
      <c r="D54" s="29">
        <f t="shared" si="1"/>
        <v>0</v>
      </c>
    </row>
    <row r="55" spans="1:4" x14ac:dyDescent="0.25">
      <c r="A55" s="29" t="s">
        <v>154</v>
      </c>
      <c r="B55" s="29">
        <v>10</v>
      </c>
      <c r="C55" s="29">
        <v>78</v>
      </c>
      <c r="D55" s="29">
        <f t="shared" si="1"/>
        <v>780</v>
      </c>
    </row>
    <row r="56" spans="1:4" x14ac:dyDescent="0.25">
      <c r="A56" s="29" t="s">
        <v>155</v>
      </c>
      <c r="B56" s="29">
        <v>50</v>
      </c>
      <c r="C56" s="29">
        <f>20*10</f>
        <v>200</v>
      </c>
      <c r="D56" s="29">
        <f t="shared" si="1"/>
        <v>10000</v>
      </c>
    </row>
    <row r="57" spans="1:4" x14ac:dyDescent="0.25">
      <c r="A57" s="29" t="s">
        <v>156</v>
      </c>
      <c r="B57" s="29">
        <v>25</v>
      </c>
      <c r="C57" s="29">
        <f>51*1</f>
        <v>51</v>
      </c>
      <c r="D57" s="29">
        <f t="shared" si="1"/>
        <v>1275</v>
      </c>
    </row>
    <row r="58" spans="1:4" x14ac:dyDescent="0.25">
      <c r="A58" s="29" t="s">
        <v>157</v>
      </c>
      <c r="B58" s="29">
        <v>10</v>
      </c>
      <c r="C58" s="29">
        <f>81*1</f>
        <v>81</v>
      </c>
      <c r="D58" s="29">
        <f t="shared" si="1"/>
        <v>810</v>
      </c>
    </row>
    <row r="59" spans="1:4" x14ac:dyDescent="0.25">
      <c r="A59" s="29" t="s">
        <v>158</v>
      </c>
      <c r="B59" s="29">
        <v>5000</v>
      </c>
      <c r="C59" s="29">
        <v>3</v>
      </c>
      <c r="D59" s="29">
        <f t="shared" si="1"/>
        <v>15000</v>
      </c>
    </row>
    <row r="60" spans="1:4" x14ac:dyDescent="0.25">
      <c r="A60" s="29" t="s">
        <v>159</v>
      </c>
      <c r="B60" s="29">
        <v>2500</v>
      </c>
      <c r="C60" s="29">
        <v>2</v>
      </c>
      <c r="D60" s="29">
        <f t="shared" si="1"/>
        <v>5000</v>
      </c>
    </row>
    <row r="61" spans="1:4" x14ac:dyDescent="0.25">
      <c r="A61" s="29" t="s">
        <v>160</v>
      </c>
      <c r="B61" s="29">
        <v>1500</v>
      </c>
      <c r="C61" s="29">
        <v>2</v>
      </c>
      <c r="D61" s="29">
        <f t="shared" si="1"/>
        <v>3000</v>
      </c>
    </row>
    <row r="62" spans="1:4" x14ac:dyDescent="0.25">
      <c r="A62" s="125" t="s">
        <v>225</v>
      </c>
      <c r="B62" s="125">
        <v>25000</v>
      </c>
      <c r="C62" s="125">
        <v>1</v>
      </c>
      <c r="D62" s="125">
        <f t="shared" si="1"/>
        <v>25000</v>
      </c>
    </row>
    <row r="63" spans="1:4" x14ac:dyDescent="0.25">
      <c r="A63" s="29" t="s">
        <v>161</v>
      </c>
      <c r="B63" s="29">
        <v>25000</v>
      </c>
      <c r="C63" s="29">
        <v>1</v>
      </c>
      <c r="D63" s="29">
        <f t="shared" si="1"/>
        <v>25000</v>
      </c>
    </row>
    <row r="64" spans="1:4" x14ac:dyDescent="0.25">
      <c r="B64" s="28" t="s">
        <v>43</v>
      </c>
      <c r="C64" s="28"/>
      <c r="D64" s="28">
        <f>SUM(D51:D63)</f>
        <v>95375</v>
      </c>
    </row>
    <row r="65" spans="2:4" x14ac:dyDescent="0.25">
      <c r="B65" s="28" t="s">
        <v>162</v>
      </c>
      <c r="C65" s="28">
        <f>SUM(C51:C62)</f>
        <v>599</v>
      </c>
    </row>
    <row r="66" spans="2:4" x14ac:dyDescent="0.25">
      <c r="C66" s="28" t="s">
        <v>163</v>
      </c>
      <c r="D66" s="118">
        <f>D64-D33</f>
        <v>8988.0800000000017</v>
      </c>
    </row>
  </sheetData>
  <conditionalFormatting sqref="D66">
    <cfRule type="cellIs" dxfId="3" priority="1" operator="lessThan">
      <formula>0</formula>
    </cfRule>
    <cfRule type="cellIs" dxfId="2" priority="2" operator="greaterThan">
      <formula>0</formula>
    </cfRule>
  </conditionalFormatting>
  <dataValidations count="1">
    <dataValidation type="list" allowBlank="1" showInputMessage="1" showErrorMessage="1" sqref="C24:C32" xr:uid="{00000000-0002-0000-0100-000000000000}">
      <formula1>"1,2,3,4,5,6,7,8,9,10,11,12, 24"</formula1>
    </dataValidation>
  </dataValidations>
  <pageMargins left="0.7" right="0.7" top="0.75" bottom="0.75" header="0.3" footer="0.3"/>
  <pageSetup scale="5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140"/>
  <sheetViews>
    <sheetView topLeftCell="A55" workbookViewId="0">
      <selection activeCell="E38" sqref="E38"/>
    </sheetView>
  </sheetViews>
  <sheetFormatPr defaultRowHeight="15" x14ac:dyDescent="0.25"/>
  <cols>
    <col min="1" max="1" width="42.5703125" customWidth="1"/>
    <col min="2" max="2" width="23.28515625" style="32" customWidth="1"/>
    <col min="3" max="3" width="13.85546875" customWidth="1"/>
    <col min="4" max="4" width="16.28515625" customWidth="1"/>
    <col min="5" max="5" width="26.85546875" customWidth="1"/>
    <col min="6" max="6" width="78.140625" customWidth="1"/>
    <col min="7" max="7" width="16.85546875" customWidth="1"/>
  </cols>
  <sheetData>
    <row r="2" spans="1:6" ht="15.75" x14ac:dyDescent="0.25">
      <c r="A2" s="49" t="s">
        <v>39</v>
      </c>
      <c r="B2" s="30" t="s">
        <v>0</v>
      </c>
      <c r="C2" s="16"/>
      <c r="D2" s="16" t="s">
        <v>36</v>
      </c>
      <c r="E2" s="16" t="s">
        <v>37</v>
      </c>
      <c r="F2" s="14"/>
    </row>
    <row r="3" spans="1:6" x14ac:dyDescent="0.25">
      <c r="A3" t="s">
        <v>83</v>
      </c>
      <c r="B3" s="52">
        <v>10994</v>
      </c>
      <c r="E3" s="17"/>
      <c r="F3" s="111" t="s">
        <v>135</v>
      </c>
    </row>
    <row r="4" spans="1:6" ht="15.75" x14ac:dyDescent="0.25">
      <c r="A4" t="s">
        <v>84</v>
      </c>
      <c r="B4" s="32">
        <v>25000</v>
      </c>
      <c r="E4" s="18">
        <f>SUM(D4-B4)</f>
        <v>-25000</v>
      </c>
      <c r="F4" s="111" t="s">
        <v>136</v>
      </c>
    </row>
    <row r="5" spans="1:6" ht="15.75" x14ac:dyDescent="0.25">
      <c r="A5" s="19" t="s">
        <v>85</v>
      </c>
      <c r="B5" s="51">
        <v>13260</v>
      </c>
      <c r="C5" s="17"/>
      <c r="D5" s="17"/>
      <c r="E5" s="18">
        <f>SUM(D5-B5)</f>
        <v>-13260</v>
      </c>
      <c r="F5" s="19"/>
    </row>
    <row r="6" spans="1:6" ht="15.75" x14ac:dyDescent="0.25">
      <c r="B6" s="15"/>
      <c r="C6" s="17"/>
      <c r="D6" s="17"/>
      <c r="E6" s="18">
        <f t="shared" ref="E6:E7" si="0">SUM(D6-B6)</f>
        <v>0</v>
      </c>
    </row>
    <row r="7" spans="1:6" ht="18.75" x14ac:dyDescent="0.3">
      <c r="A7" s="4" t="s">
        <v>12</v>
      </c>
      <c r="B7" s="31">
        <f>SUM(B3:B6)</f>
        <v>49254</v>
      </c>
      <c r="C7" s="31">
        <f>SUM(C3:C6)</f>
        <v>0</v>
      </c>
      <c r="D7" s="31">
        <f>SUM(D3:D6)</f>
        <v>0</v>
      </c>
      <c r="E7" s="20">
        <f t="shared" si="0"/>
        <v>-49254</v>
      </c>
      <c r="F7" s="14"/>
    </row>
    <row r="8" spans="1:6" ht="15.75" x14ac:dyDescent="0.25">
      <c r="A8" s="10"/>
      <c r="B8" s="15"/>
      <c r="C8" s="17"/>
      <c r="D8" s="17"/>
      <c r="E8" s="17"/>
    </row>
    <row r="9" spans="1:6" ht="15.75" x14ac:dyDescent="0.25">
      <c r="A9" s="48" t="s">
        <v>38</v>
      </c>
      <c r="B9" s="21"/>
      <c r="C9" s="21"/>
      <c r="D9" s="21"/>
      <c r="E9" s="21"/>
      <c r="F9" s="22"/>
    </row>
    <row r="10" spans="1:6" ht="15.75" x14ac:dyDescent="0.25">
      <c r="A10" s="10" t="s">
        <v>113</v>
      </c>
      <c r="B10" s="15">
        <f>D70</f>
        <v>7791</v>
      </c>
      <c r="C10" s="17"/>
      <c r="D10" s="17"/>
      <c r="E10" s="17">
        <f>SUM(B10-D10)</f>
        <v>7791</v>
      </c>
      <c r="F10" t="s">
        <v>114</v>
      </c>
    </row>
    <row r="11" spans="1:6" ht="15.75" x14ac:dyDescent="0.25">
      <c r="A11" s="10" t="s">
        <v>112</v>
      </c>
      <c r="B11" s="15">
        <f>D71+D72</f>
        <v>3426.8</v>
      </c>
      <c r="C11" s="17"/>
      <c r="D11" s="17"/>
      <c r="E11" s="17">
        <f>SUM(B11-D11)</f>
        <v>3426.8</v>
      </c>
      <c r="F11" t="s">
        <v>128</v>
      </c>
    </row>
    <row r="12" spans="1:6" ht="15.75" x14ac:dyDescent="0.25">
      <c r="A12" s="10"/>
      <c r="B12" s="15"/>
      <c r="C12" s="17"/>
      <c r="D12" s="17"/>
      <c r="E12" s="17"/>
    </row>
    <row r="13" spans="1:6" ht="15.75" x14ac:dyDescent="0.25">
      <c r="A13" s="10" t="s">
        <v>80</v>
      </c>
      <c r="B13" s="15">
        <v>1500</v>
      </c>
      <c r="C13" s="17"/>
      <c r="D13" s="17"/>
      <c r="E13" s="17">
        <f>SUM(B13-D13)</f>
        <v>1500</v>
      </c>
      <c r="F13" t="s">
        <v>73</v>
      </c>
    </row>
    <row r="14" spans="1:6" ht="15.75" x14ac:dyDescent="0.25">
      <c r="A14" s="10" t="s">
        <v>79</v>
      </c>
      <c r="B14" s="15">
        <v>1500</v>
      </c>
      <c r="C14" s="17"/>
      <c r="D14" s="17"/>
      <c r="E14" s="17">
        <f>SUM(B14-D14)</f>
        <v>1500</v>
      </c>
      <c r="F14" t="s">
        <v>73</v>
      </c>
    </row>
    <row r="15" spans="1:6" ht="15.75" x14ac:dyDescent="0.25">
      <c r="A15" s="10" t="s">
        <v>81</v>
      </c>
      <c r="B15" s="32">
        <v>1800</v>
      </c>
      <c r="E15" s="17">
        <f t="shared" ref="E15:E20" si="1">SUM(B15-D15)</f>
        <v>1800</v>
      </c>
      <c r="F15" t="s">
        <v>75</v>
      </c>
    </row>
    <row r="16" spans="1:6" x14ac:dyDescent="0.25">
      <c r="A16" t="s">
        <v>76</v>
      </c>
      <c r="B16" s="32">
        <v>1800</v>
      </c>
      <c r="D16" s="43"/>
      <c r="E16" s="17">
        <f t="shared" si="1"/>
        <v>1800</v>
      </c>
      <c r="F16" t="s">
        <v>75</v>
      </c>
    </row>
    <row r="17" spans="1:6" x14ac:dyDescent="0.25">
      <c r="A17" t="s">
        <v>77</v>
      </c>
      <c r="B17" s="33">
        <v>1695</v>
      </c>
      <c r="D17" s="43"/>
      <c r="E17" s="17">
        <f t="shared" si="1"/>
        <v>1695</v>
      </c>
      <c r="F17" t="s">
        <v>78</v>
      </c>
    </row>
    <row r="18" spans="1:6" ht="15.75" x14ac:dyDescent="0.25">
      <c r="A18" s="10" t="s">
        <v>82</v>
      </c>
      <c r="B18" s="32">
        <v>1695</v>
      </c>
      <c r="E18" s="17">
        <f t="shared" si="1"/>
        <v>1695</v>
      </c>
      <c r="F18" t="s">
        <v>78</v>
      </c>
    </row>
    <row r="19" spans="1:6" x14ac:dyDescent="0.25">
      <c r="E19" s="17">
        <f t="shared" si="1"/>
        <v>0</v>
      </c>
    </row>
    <row r="20" spans="1:6" ht="18.75" x14ac:dyDescent="0.3">
      <c r="A20" s="4" t="s">
        <v>53</v>
      </c>
      <c r="B20" s="50">
        <f>SUM(B10:B19)</f>
        <v>21207.8</v>
      </c>
      <c r="C20" s="50">
        <f>SUM(C13:C19)</f>
        <v>0</v>
      </c>
      <c r="D20" s="50">
        <f>SUM(D13:D19)</f>
        <v>0</v>
      </c>
      <c r="E20" s="20">
        <f t="shared" si="1"/>
        <v>21207.8</v>
      </c>
      <c r="F20" s="14"/>
    </row>
    <row r="22" spans="1:6" x14ac:dyDescent="0.25">
      <c r="A22" s="28" t="s">
        <v>37</v>
      </c>
      <c r="B22" s="79">
        <f>SUM(B7-B20)</f>
        <v>28046.2</v>
      </c>
    </row>
    <row r="33" spans="1:6" x14ac:dyDescent="0.25">
      <c r="A33" s="102" t="s">
        <v>119</v>
      </c>
    </row>
    <row r="35" spans="1:6" ht="30" x14ac:dyDescent="0.25">
      <c r="A35" s="37" t="s">
        <v>50</v>
      </c>
      <c r="B35" s="37" t="s">
        <v>46</v>
      </c>
      <c r="C35" s="36" t="s">
        <v>47</v>
      </c>
      <c r="D35" s="37" t="s">
        <v>48</v>
      </c>
      <c r="E35" s="37" t="s">
        <v>49</v>
      </c>
    </row>
    <row r="36" spans="1:6" x14ac:dyDescent="0.25">
      <c r="A36" s="107" t="s">
        <v>122</v>
      </c>
      <c r="B36" s="38" t="s">
        <v>74</v>
      </c>
      <c r="C36" s="29" t="s">
        <v>74</v>
      </c>
      <c r="D36" s="38" t="s">
        <v>74</v>
      </c>
      <c r="E36" s="29" t="s">
        <v>74</v>
      </c>
    </row>
    <row r="37" spans="1:6" x14ac:dyDescent="0.25">
      <c r="A37" s="29" t="s">
        <v>100</v>
      </c>
      <c r="B37" s="38">
        <v>25000</v>
      </c>
      <c r="C37" s="29">
        <v>1</v>
      </c>
      <c r="D37" s="38">
        <v>25000</v>
      </c>
      <c r="E37" s="106" t="s">
        <v>101</v>
      </c>
    </row>
    <row r="38" spans="1:6" x14ac:dyDescent="0.25">
      <c r="A38" s="29" t="s">
        <v>102</v>
      </c>
      <c r="B38" s="52">
        <v>10994</v>
      </c>
      <c r="C38" s="29">
        <v>1</v>
      </c>
      <c r="D38" s="52">
        <v>10994</v>
      </c>
      <c r="E38" s="106" t="s">
        <v>137</v>
      </c>
    </row>
    <row r="39" spans="1:6" x14ac:dyDescent="0.25">
      <c r="A39" s="29" t="s">
        <v>121</v>
      </c>
      <c r="B39" s="46" t="s">
        <v>74</v>
      </c>
      <c r="C39" s="34" t="s">
        <v>74</v>
      </c>
      <c r="D39" s="38" t="s">
        <v>74</v>
      </c>
      <c r="E39" s="106" t="s">
        <v>120</v>
      </c>
    </row>
    <row r="40" spans="1:6" x14ac:dyDescent="0.25">
      <c r="A40" s="107" t="s">
        <v>124</v>
      </c>
      <c r="B40" s="46"/>
      <c r="C40" s="34"/>
      <c r="D40" s="108">
        <f>D37+D38</f>
        <v>35994</v>
      </c>
      <c r="E40" s="29"/>
    </row>
    <row r="41" spans="1:6" x14ac:dyDescent="0.25">
      <c r="A41" s="29"/>
      <c r="B41" s="46"/>
      <c r="C41" s="34"/>
      <c r="D41" s="38"/>
      <c r="E41" s="29"/>
    </row>
    <row r="42" spans="1:6" x14ac:dyDescent="0.25">
      <c r="A42" s="107" t="s">
        <v>123</v>
      </c>
      <c r="B42" s="46"/>
      <c r="C42" s="34"/>
      <c r="D42" s="38"/>
      <c r="E42" s="29"/>
    </row>
    <row r="43" spans="1:6" x14ac:dyDescent="0.25">
      <c r="A43" s="35" t="s">
        <v>86</v>
      </c>
      <c r="B43" s="39">
        <v>0</v>
      </c>
      <c r="C43" s="35">
        <v>48</v>
      </c>
      <c r="D43" s="39">
        <v>0</v>
      </c>
      <c r="E43" s="35" t="s">
        <v>44</v>
      </c>
      <c r="F43" t="s">
        <v>74</v>
      </c>
    </row>
    <row r="44" spans="1:6" x14ac:dyDescent="0.25">
      <c r="A44" s="35" t="s">
        <v>97</v>
      </c>
      <c r="B44" s="39">
        <v>30</v>
      </c>
      <c r="C44" s="35">
        <v>12</v>
      </c>
      <c r="D44" s="39">
        <f>B44*C44</f>
        <v>360</v>
      </c>
      <c r="E44" s="35"/>
    </row>
    <row r="45" spans="1:6" x14ac:dyDescent="0.25">
      <c r="A45" s="29" t="s">
        <v>87</v>
      </c>
      <c r="B45" s="38">
        <v>50</v>
      </c>
      <c r="C45" s="29">
        <v>48</v>
      </c>
      <c r="D45" s="38">
        <f t="shared" ref="D45:D46" si="2">B45*C45</f>
        <v>2400</v>
      </c>
      <c r="E45" s="29"/>
    </row>
    <row r="46" spans="1:6" x14ac:dyDescent="0.25">
      <c r="A46" s="29" t="s">
        <v>90</v>
      </c>
      <c r="B46" s="38">
        <v>75</v>
      </c>
      <c r="C46" s="29">
        <v>12</v>
      </c>
      <c r="D46" s="38">
        <f t="shared" si="2"/>
        <v>900</v>
      </c>
      <c r="E46" s="29"/>
    </row>
    <row r="47" spans="1:6" x14ac:dyDescent="0.25">
      <c r="A47" s="35" t="s">
        <v>88</v>
      </c>
      <c r="B47" s="39">
        <v>50</v>
      </c>
      <c r="C47" s="35">
        <v>48</v>
      </c>
      <c r="D47" s="39">
        <f t="shared" ref="D47:D48" si="3">B47*C47</f>
        <v>2400</v>
      </c>
      <c r="E47" s="35"/>
    </row>
    <row r="48" spans="1:6" x14ac:dyDescent="0.25">
      <c r="A48" s="35" t="s">
        <v>89</v>
      </c>
      <c r="B48" s="39">
        <v>75</v>
      </c>
      <c r="C48" s="35">
        <v>12</v>
      </c>
      <c r="D48" s="39">
        <f t="shared" si="3"/>
        <v>900</v>
      </c>
      <c r="E48" s="35"/>
    </row>
    <row r="49" spans="1:6" x14ac:dyDescent="0.25">
      <c r="A49" s="29" t="s">
        <v>91</v>
      </c>
      <c r="B49" s="38">
        <v>50</v>
      </c>
      <c r="C49" s="29">
        <v>48</v>
      </c>
      <c r="D49" s="38">
        <f t="shared" ref="D49" si="4">B49*C49</f>
        <v>2400</v>
      </c>
      <c r="E49" s="29"/>
    </row>
    <row r="50" spans="1:6" x14ac:dyDescent="0.25">
      <c r="A50" s="29" t="s">
        <v>92</v>
      </c>
      <c r="B50" s="38">
        <v>75</v>
      </c>
      <c r="C50" s="29">
        <v>12</v>
      </c>
      <c r="D50" s="38">
        <f t="shared" ref="D50:D51" si="5">B50*C50</f>
        <v>900</v>
      </c>
      <c r="E50" s="29"/>
    </row>
    <row r="51" spans="1:6" x14ac:dyDescent="0.25">
      <c r="A51" s="35" t="s">
        <v>93</v>
      </c>
      <c r="B51" s="39">
        <v>50</v>
      </c>
      <c r="C51" s="35">
        <v>12</v>
      </c>
      <c r="D51" s="39">
        <f t="shared" si="5"/>
        <v>600</v>
      </c>
      <c r="E51" s="35"/>
    </row>
    <row r="52" spans="1:6" x14ac:dyDescent="0.25">
      <c r="A52" s="35" t="s">
        <v>94</v>
      </c>
      <c r="B52" s="39">
        <v>75</v>
      </c>
      <c r="C52" s="35">
        <v>12</v>
      </c>
      <c r="D52" s="39">
        <f t="shared" ref="D52" si="6">B52*C52</f>
        <v>900</v>
      </c>
      <c r="E52" s="35"/>
    </row>
    <row r="53" spans="1:6" x14ac:dyDescent="0.25">
      <c r="A53" s="29" t="s">
        <v>95</v>
      </c>
      <c r="B53" s="38">
        <v>50</v>
      </c>
      <c r="C53" s="29">
        <v>12</v>
      </c>
      <c r="D53" s="38">
        <f t="shared" ref="D53:D54" si="7">B53*C53</f>
        <v>600</v>
      </c>
      <c r="E53" s="29"/>
      <c r="F53" t="s">
        <v>74</v>
      </c>
    </row>
    <row r="54" spans="1:6" x14ac:dyDescent="0.25">
      <c r="A54" s="29" t="s">
        <v>96</v>
      </c>
      <c r="B54" s="38">
        <v>75</v>
      </c>
      <c r="C54" s="29">
        <v>12</v>
      </c>
      <c r="D54" s="38">
        <f t="shared" si="7"/>
        <v>900</v>
      </c>
      <c r="E54" s="29"/>
    </row>
    <row r="55" spans="1:6" x14ac:dyDescent="0.25">
      <c r="A55" s="35" t="s">
        <v>110</v>
      </c>
      <c r="B55" s="39"/>
      <c r="C55" s="35"/>
      <c r="D55" s="39"/>
      <c r="E55" s="104">
        <f>D44+D51+D52+D53+D54</f>
        <v>3360</v>
      </c>
    </row>
    <row r="56" spans="1:6" x14ac:dyDescent="0.25">
      <c r="A56" s="35" t="s">
        <v>111</v>
      </c>
      <c r="B56" s="39"/>
      <c r="C56" s="35"/>
      <c r="D56" s="39"/>
      <c r="E56" s="104">
        <f>D45+D46+D47+D48+D49+D50</f>
        <v>9900</v>
      </c>
    </row>
    <row r="57" spans="1:6" x14ac:dyDescent="0.25">
      <c r="A57" s="107" t="s">
        <v>124</v>
      </c>
      <c r="B57" s="38"/>
      <c r="C57" s="29"/>
      <c r="D57" s="108">
        <f>SUM(D43:D56)</f>
        <v>13260</v>
      </c>
      <c r="E57" s="29"/>
    </row>
    <row r="58" spans="1:6" x14ac:dyDescent="0.25">
      <c r="A58" s="29"/>
      <c r="B58" s="38"/>
      <c r="C58" s="29"/>
      <c r="D58" s="38"/>
      <c r="E58" s="29"/>
    </row>
    <row r="59" spans="1:6" x14ac:dyDescent="0.25">
      <c r="A59" s="29"/>
      <c r="B59" s="38"/>
      <c r="C59" s="29"/>
      <c r="D59" s="38"/>
      <c r="E59" s="29"/>
    </row>
    <row r="60" spans="1:6" x14ac:dyDescent="0.25">
      <c r="A60" s="29"/>
      <c r="B60" s="38"/>
      <c r="C60" s="29"/>
      <c r="D60" s="38"/>
      <c r="E60" s="29"/>
    </row>
    <row r="61" spans="1:6" x14ac:dyDescent="0.25">
      <c r="A61" s="28" t="s">
        <v>43</v>
      </c>
      <c r="B61" s="28"/>
      <c r="C61" s="28"/>
      <c r="D61" s="42">
        <f>D40+D57</f>
        <v>49254</v>
      </c>
    </row>
    <row r="62" spans="1:6" x14ac:dyDescent="0.25">
      <c r="B62"/>
      <c r="D62" s="43"/>
    </row>
    <row r="63" spans="1:6" x14ac:dyDescent="0.25">
      <c r="A63" s="28" t="s">
        <v>74</v>
      </c>
      <c r="B63"/>
      <c r="D63" s="43"/>
    </row>
    <row r="64" spans="1:6" x14ac:dyDescent="0.25">
      <c r="B64"/>
      <c r="D64" s="43"/>
    </row>
    <row r="65" spans="1:6" x14ac:dyDescent="0.25">
      <c r="A65" s="19"/>
      <c r="B65"/>
      <c r="D65" s="43"/>
    </row>
    <row r="66" spans="1:6" x14ac:dyDescent="0.25">
      <c r="D66" s="43"/>
    </row>
    <row r="67" spans="1:6" x14ac:dyDescent="0.25">
      <c r="A67" s="28" t="s">
        <v>51</v>
      </c>
      <c r="B67"/>
      <c r="D67" s="43"/>
    </row>
    <row r="68" spans="1:6" x14ac:dyDescent="0.25">
      <c r="A68" s="37" t="s">
        <v>45</v>
      </c>
      <c r="B68" s="37" t="s">
        <v>46</v>
      </c>
      <c r="C68" s="37" t="s">
        <v>52</v>
      </c>
      <c r="D68" s="44" t="s">
        <v>48</v>
      </c>
      <c r="E68" s="37" t="s">
        <v>49</v>
      </c>
    </row>
    <row r="69" spans="1:6" x14ac:dyDescent="0.25">
      <c r="A69" s="107" t="s">
        <v>126</v>
      </c>
      <c r="B69" s="40"/>
      <c r="C69" s="29"/>
      <c r="D69" s="38"/>
      <c r="E69" s="29"/>
    </row>
    <row r="70" spans="1:6" x14ac:dyDescent="0.25">
      <c r="A70" s="29" t="s">
        <v>103</v>
      </c>
      <c r="B70" s="40">
        <v>3895.5</v>
      </c>
      <c r="C70" s="29">
        <v>2</v>
      </c>
      <c r="D70" s="38">
        <f>B70*C70</f>
        <v>7791</v>
      </c>
      <c r="E70" s="29" t="s">
        <v>74</v>
      </c>
    </row>
    <row r="71" spans="1:6" x14ac:dyDescent="0.25">
      <c r="A71" s="29" t="s">
        <v>104</v>
      </c>
      <c r="B71" s="40">
        <v>1900</v>
      </c>
      <c r="C71" s="29">
        <v>0.4</v>
      </c>
      <c r="D71" s="38">
        <f t="shared" ref="D71:D72" si="8">B71*C71</f>
        <v>760</v>
      </c>
      <c r="E71" s="29"/>
    </row>
    <row r="72" spans="1:6" x14ac:dyDescent="0.25">
      <c r="A72" s="29" t="s">
        <v>105</v>
      </c>
      <c r="B72" s="40">
        <v>6667</v>
      </c>
      <c r="C72" s="29">
        <v>0.4</v>
      </c>
      <c r="D72" s="38">
        <f t="shared" si="8"/>
        <v>2666.8</v>
      </c>
      <c r="E72" s="29"/>
      <c r="F72" s="100" t="s">
        <v>125</v>
      </c>
    </row>
    <row r="73" spans="1:6" x14ac:dyDescent="0.25">
      <c r="A73" s="29"/>
      <c r="B73" s="29"/>
      <c r="C73" s="29"/>
      <c r="D73" s="29"/>
      <c r="E73" s="29"/>
      <c r="F73" s="100" t="s">
        <v>127</v>
      </c>
    </row>
    <row r="74" spans="1:6" x14ac:dyDescent="0.25">
      <c r="A74" s="29"/>
      <c r="B74" s="29"/>
      <c r="C74" s="29"/>
      <c r="D74" s="29"/>
      <c r="E74" s="29"/>
    </row>
    <row r="75" spans="1:6" x14ac:dyDescent="0.25">
      <c r="A75" s="29" t="s">
        <v>123</v>
      </c>
      <c r="B75" s="29"/>
      <c r="C75" s="29"/>
      <c r="D75" s="29"/>
      <c r="E75" s="29"/>
    </row>
    <row r="76" spans="1:6" x14ac:dyDescent="0.25">
      <c r="A76" s="29" t="s">
        <v>99</v>
      </c>
      <c r="B76" s="41">
        <v>500</v>
      </c>
      <c r="C76" s="29">
        <v>3</v>
      </c>
      <c r="D76" s="38">
        <f>B76*C76</f>
        <v>1500</v>
      </c>
      <c r="E76" s="29"/>
      <c r="F76" t="s">
        <v>74</v>
      </c>
    </row>
    <row r="77" spans="1:6" x14ac:dyDescent="0.25">
      <c r="A77" s="29" t="s">
        <v>117</v>
      </c>
      <c r="B77" s="41">
        <v>600</v>
      </c>
      <c r="C77" s="29">
        <v>6</v>
      </c>
      <c r="D77" s="38">
        <f>B77*C77</f>
        <v>3600</v>
      </c>
      <c r="E77" s="29"/>
    </row>
    <row r="78" spans="1:6" x14ac:dyDescent="0.25">
      <c r="A78" s="29" t="s">
        <v>118</v>
      </c>
      <c r="B78" s="41">
        <v>565</v>
      </c>
      <c r="C78" s="29">
        <v>6</v>
      </c>
      <c r="D78" s="38">
        <f>B78*C78</f>
        <v>3390</v>
      </c>
      <c r="E78" s="29"/>
    </row>
    <row r="79" spans="1:6" x14ac:dyDescent="0.25">
      <c r="A79" s="29" t="s">
        <v>98</v>
      </c>
      <c r="B79" s="40">
        <v>500</v>
      </c>
      <c r="C79" s="29">
        <v>3</v>
      </c>
      <c r="D79" s="38">
        <f>B79*C79</f>
        <v>1500</v>
      </c>
      <c r="E79" s="29"/>
    </row>
    <row r="80" spans="1:6" x14ac:dyDescent="0.25">
      <c r="A80" s="29"/>
      <c r="B80" s="29"/>
      <c r="C80" s="29"/>
      <c r="D80" s="38"/>
      <c r="E80" s="29"/>
    </row>
    <row r="81" spans="1:8" ht="15.75" thickBot="1" x14ac:dyDescent="0.3">
      <c r="A81" s="28" t="s">
        <v>43</v>
      </c>
      <c r="B81" s="28"/>
      <c r="C81" s="28"/>
      <c r="D81" s="45">
        <f>SUM(D70:D80)</f>
        <v>21207.8</v>
      </c>
      <c r="F81" s="28"/>
      <c r="G81" s="28"/>
      <c r="H81" s="28"/>
    </row>
    <row r="82" spans="1:8" ht="15.75" thickTop="1" x14ac:dyDescent="0.25">
      <c r="D82" s="43"/>
    </row>
    <row r="83" spans="1:8" x14ac:dyDescent="0.25">
      <c r="A83" s="28" t="s">
        <v>37</v>
      </c>
      <c r="D83" s="47">
        <f>SUM(D61-D81)</f>
        <v>28046.2</v>
      </c>
    </row>
    <row r="84" spans="1:8" x14ac:dyDescent="0.25">
      <c r="D84" s="43"/>
    </row>
    <row r="85" spans="1:8" x14ac:dyDescent="0.25">
      <c r="D85" s="43"/>
      <c r="F85" s="28"/>
    </row>
    <row r="87" spans="1:8" x14ac:dyDescent="0.25">
      <c r="F87" s="19"/>
    </row>
    <row r="95" spans="1:8" x14ac:dyDescent="0.25">
      <c r="B95"/>
    </row>
    <row r="96" spans="1:8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</sheetData>
  <conditionalFormatting sqref="C139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sqref="C98:C105" xr:uid="{00000000-0002-0000-0200-000000000000}">
      <formula1>"1,2,3,4,5,6,7,8,9,10,11,12, 24"</formula1>
    </dataValidation>
  </dataValidations>
  <pageMargins left="0.7" right="0.7" top="0.75" bottom="0.75" header="0.3" footer="0.3"/>
  <pageSetup scale="4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9"/>
  <sheetViews>
    <sheetView topLeftCell="A34" workbookViewId="0">
      <selection activeCell="A59" sqref="A59"/>
    </sheetView>
  </sheetViews>
  <sheetFormatPr defaultRowHeight="15" x14ac:dyDescent="0.25"/>
  <cols>
    <col min="1" max="1" width="16.28515625" customWidth="1"/>
    <col min="2" max="2" width="27" customWidth="1"/>
    <col min="3" max="3" width="12" customWidth="1"/>
    <col min="4" max="4" width="16.5703125" customWidth="1"/>
    <col min="5" max="5" width="12.42578125" customWidth="1"/>
    <col min="7" max="7" width="14.85546875" customWidth="1"/>
  </cols>
  <sheetData>
    <row r="1" spans="1:9" s="28" customFormat="1" x14ac:dyDescent="0.25">
      <c r="A1" s="28" t="s">
        <v>166</v>
      </c>
      <c r="B1" s="28" t="s">
        <v>167</v>
      </c>
      <c r="C1" s="28" t="s">
        <v>175</v>
      </c>
      <c r="D1" s="28" t="s">
        <v>198</v>
      </c>
      <c r="E1" s="28" t="s">
        <v>168</v>
      </c>
      <c r="G1" s="28" t="s">
        <v>174</v>
      </c>
      <c r="I1" s="28" t="s">
        <v>227</v>
      </c>
    </row>
    <row r="2" spans="1:9" x14ac:dyDescent="0.25">
      <c r="A2">
        <v>114</v>
      </c>
      <c r="B2" t="s">
        <v>169</v>
      </c>
      <c r="C2" s="76">
        <v>389.52</v>
      </c>
      <c r="D2" s="120" t="s">
        <v>207</v>
      </c>
      <c r="E2" s="120" t="s">
        <v>206</v>
      </c>
      <c r="G2" t="s">
        <v>205</v>
      </c>
      <c r="H2" t="s">
        <v>74</v>
      </c>
      <c r="I2" t="s">
        <v>220</v>
      </c>
    </row>
    <row r="3" spans="1:9" x14ac:dyDescent="0.25">
      <c r="B3" t="s">
        <v>176</v>
      </c>
      <c r="C3" s="76">
        <v>3398.5</v>
      </c>
      <c r="D3" s="120" t="s">
        <v>215</v>
      </c>
      <c r="E3" s="120">
        <v>44634</v>
      </c>
      <c r="G3" t="s">
        <v>190</v>
      </c>
    </row>
    <row r="4" spans="1:9" x14ac:dyDescent="0.25">
      <c r="A4">
        <v>3924</v>
      </c>
      <c r="B4" t="s">
        <v>181</v>
      </c>
      <c r="C4" s="76">
        <v>1243</v>
      </c>
      <c r="D4" t="s">
        <v>182</v>
      </c>
      <c r="E4" s="120">
        <v>44615</v>
      </c>
      <c r="G4" t="s">
        <v>200</v>
      </c>
    </row>
    <row r="5" spans="1:9" x14ac:dyDescent="0.25">
      <c r="A5">
        <v>3922</v>
      </c>
      <c r="B5" t="s">
        <v>181</v>
      </c>
      <c r="C5" s="76">
        <v>147.78</v>
      </c>
      <c r="D5" t="s">
        <v>183</v>
      </c>
      <c r="E5" s="120">
        <v>44611</v>
      </c>
      <c r="G5" t="s">
        <v>199</v>
      </c>
    </row>
    <row r="6" spans="1:9" x14ac:dyDescent="0.25">
      <c r="A6">
        <v>1</v>
      </c>
      <c r="B6" t="s">
        <v>201</v>
      </c>
      <c r="C6" s="76">
        <v>49.4</v>
      </c>
      <c r="D6" s="120" t="s">
        <v>217</v>
      </c>
      <c r="E6" t="s">
        <v>202</v>
      </c>
      <c r="G6" t="s">
        <v>203</v>
      </c>
      <c r="I6" t="s">
        <v>204</v>
      </c>
    </row>
    <row r="7" spans="1:9" s="100" customFormat="1" x14ac:dyDescent="0.25">
      <c r="D7" s="121"/>
      <c r="E7" s="121"/>
    </row>
    <row r="8" spans="1:9" x14ac:dyDescent="0.25">
      <c r="A8">
        <v>115</v>
      </c>
      <c r="B8" t="s">
        <v>170</v>
      </c>
      <c r="C8" s="76">
        <v>534.85</v>
      </c>
      <c r="D8" s="120" t="s">
        <v>208</v>
      </c>
      <c r="E8" s="120">
        <v>44616</v>
      </c>
      <c r="G8" t="s">
        <v>180</v>
      </c>
    </row>
    <row r="9" spans="1:9" x14ac:dyDescent="0.25">
      <c r="A9">
        <v>116</v>
      </c>
      <c r="B9" t="s">
        <v>171</v>
      </c>
      <c r="C9" s="76">
        <v>202.11</v>
      </c>
      <c r="D9" s="120" t="s">
        <v>209</v>
      </c>
      <c r="E9" s="120">
        <v>44616</v>
      </c>
      <c r="G9" t="s">
        <v>184</v>
      </c>
    </row>
    <row r="10" spans="1:9" x14ac:dyDescent="0.25">
      <c r="A10">
        <v>117</v>
      </c>
      <c r="B10" t="s">
        <v>172</v>
      </c>
      <c r="C10" s="76">
        <v>841.65</v>
      </c>
      <c r="D10" s="120" t="s">
        <v>210</v>
      </c>
      <c r="E10" t="s">
        <v>185</v>
      </c>
      <c r="G10" t="s">
        <v>186</v>
      </c>
    </row>
    <row r="11" spans="1:9" x14ac:dyDescent="0.25">
      <c r="A11">
        <v>9</v>
      </c>
      <c r="B11" t="s">
        <v>188</v>
      </c>
      <c r="C11" s="76">
        <v>565</v>
      </c>
      <c r="D11" s="120" t="s">
        <v>212</v>
      </c>
      <c r="E11" s="120">
        <v>44641</v>
      </c>
      <c r="G11" t="s">
        <v>180</v>
      </c>
      <c r="I11" t="s">
        <v>228</v>
      </c>
    </row>
    <row r="12" spans="1:9" x14ac:dyDescent="0.25">
      <c r="A12">
        <v>10</v>
      </c>
      <c r="B12" t="s">
        <v>188</v>
      </c>
      <c r="C12" s="76">
        <v>565</v>
      </c>
      <c r="D12" s="120" t="s">
        <v>213</v>
      </c>
      <c r="E12" s="120">
        <v>44641</v>
      </c>
      <c r="G12" t="s">
        <v>186</v>
      </c>
      <c r="I12" t="s">
        <v>228</v>
      </c>
    </row>
    <row r="13" spans="1:9" x14ac:dyDescent="0.25">
      <c r="B13" t="s">
        <v>261</v>
      </c>
      <c r="C13" s="76">
        <v>3898.5</v>
      </c>
      <c r="D13" s="120" t="s">
        <v>214</v>
      </c>
      <c r="E13" s="120">
        <v>44615</v>
      </c>
      <c r="G13" t="s">
        <v>189</v>
      </c>
    </row>
    <row r="14" spans="1:9" x14ac:dyDescent="0.25">
      <c r="A14" t="s">
        <v>191</v>
      </c>
      <c r="B14" t="s">
        <v>177</v>
      </c>
      <c r="C14" s="76">
        <v>500</v>
      </c>
      <c r="D14" s="120" t="s">
        <v>212</v>
      </c>
      <c r="E14" t="s">
        <v>193</v>
      </c>
      <c r="G14" t="s">
        <v>180</v>
      </c>
      <c r="I14" t="s">
        <v>192</v>
      </c>
    </row>
    <row r="15" spans="1:9" x14ac:dyDescent="0.25">
      <c r="A15" t="s">
        <v>194</v>
      </c>
      <c r="B15" t="s">
        <v>178</v>
      </c>
      <c r="C15" s="76">
        <v>12995</v>
      </c>
      <c r="D15" s="120" t="s">
        <v>213</v>
      </c>
      <c r="E15" s="120">
        <v>44627</v>
      </c>
      <c r="G15" t="s">
        <v>179</v>
      </c>
      <c r="I15" t="s">
        <v>262</v>
      </c>
    </row>
    <row r="16" spans="1:9" x14ac:dyDescent="0.25">
      <c r="A16" t="s">
        <v>196</v>
      </c>
      <c r="B16" t="s">
        <v>195</v>
      </c>
      <c r="C16" s="76">
        <v>3277.5</v>
      </c>
      <c r="D16" s="120" t="s">
        <v>218</v>
      </c>
      <c r="E16" s="120">
        <v>44627</v>
      </c>
      <c r="G16" t="s">
        <v>179</v>
      </c>
      <c r="I16" s="76" t="s">
        <v>221</v>
      </c>
    </row>
    <row r="17" spans="1:9" s="100" customFormat="1" x14ac:dyDescent="0.25"/>
    <row r="18" spans="1:9" x14ac:dyDescent="0.25">
      <c r="A18">
        <v>118</v>
      </c>
      <c r="B18" t="s">
        <v>173</v>
      </c>
      <c r="C18" s="76">
        <v>2642.15</v>
      </c>
      <c r="D18" s="120" t="s">
        <v>211</v>
      </c>
      <c r="E18" s="120">
        <v>44649</v>
      </c>
      <c r="G18" t="s">
        <v>187</v>
      </c>
    </row>
    <row r="19" spans="1:9" x14ac:dyDescent="0.25">
      <c r="A19" t="s">
        <v>191</v>
      </c>
      <c r="B19" t="s">
        <v>197</v>
      </c>
      <c r="C19" s="76">
        <v>500</v>
      </c>
      <c r="D19" s="120" t="s">
        <v>216</v>
      </c>
      <c r="E19" s="120">
        <v>44641</v>
      </c>
      <c r="G19" t="s">
        <v>231</v>
      </c>
    </row>
    <row r="20" spans="1:9" x14ac:dyDescent="0.25">
      <c r="A20">
        <v>4037</v>
      </c>
      <c r="B20" t="s">
        <v>229</v>
      </c>
      <c r="C20" s="76">
        <v>1356</v>
      </c>
      <c r="D20" s="120" t="s">
        <v>235</v>
      </c>
      <c r="E20" s="120">
        <v>44673</v>
      </c>
      <c r="G20" t="s">
        <v>126</v>
      </c>
    </row>
    <row r="21" spans="1:9" x14ac:dyDescent="0.25">
      <c r="A21">
        <v>119</v>
      </c>
      <c r="B21" t="s">
        <v>230</v>
      </c>
      <c r="C21" s="76">
        <v>4304.62</v>
      </c>
      <c r="D21" s="120" t="s">
        <v>233</v>
      </c>
      <c r="E21" s="120">
        <v>44663</v>
      </c>
      <c r="G21" t="s">
        <v>232</v>
      </c>
    </row>
    <row r="22" spans="1:9" x14ac:dyDescent="0.25">
      <c r="A22">
        <v>120</v>
      </c>
      <c r="B22" t="s">
        <v>230</v>
      </c>
      <c r="C22" s="76">
        <v>722.73</v>
      </c>
      <c r="D22" s="120" t="s">
        <v>233</v>
      </c>
      <c r="E22" s="120">
        <v>44676</v>
      </c>
      <c r="G22" t="s">
        <v>232</v>
      </c>
    </row>
    <row r="23" spans="1:9" x14ac:dyDescent="0.25">
      <c r="A23">
        <v>4109</v>
      </c>
      <c r="B23" t="s">
        <v>229</v>
      </c>
      <c r="C23" s="76">
        <v>6602.03</v>
      </c>
      <c r="D23" s="120" t="s">
        <v>233</v>
      </c>
      <c r="E23" s="120">
        <v>44678</v>
      </c>
      <c r="G23" t="s">
        <v>234</v>
      </c>
    </row>
    <row r="24" spans="1:9" s="100" customFormat="1" x14ac:dyDescent="0.25"/>
    <row r="25" spans="1:9" x14ac:dyDescent="0.25">
      <c r="A25" t="s">
        <v>245</v>
      </c>
      <c r="B25" t="s">
        <v>244</v>
      </c>
      <c r="C25" s="76">
        <v>3277.5</v>
      </c>
      <c r="E25" s="120">
        <v>44685</v>
      </c>
      <c r="G25" t="s">
        <v>179</v>
      </c>
      <c r="I25" s="76" t="s">
        <v>251</v>
      </c>
    </row>
    <row r="26" spans="1:9" x14ac:dyDescent="0.25">
      <c r="A26" t="s">
        <v>246</v>
      </c>
      <c r="B26" t="s">
        <v>195</v>
      </c>
      <c r="C26" s="76">
        <v>1980</v>
      </c>
      <c r="E26" s="120">
        <v>44685</v>
      </c>
      <c r="G26" t="s">
        <v>179</v>
      </c>
      <c r="I26" s="76" t="s">
        <v>250</v>
      </c>
    </row>
    <row r="27" spans="1:9" x14ac:dyDescent="0.25">
      <c r="B27" s="126" t="s">
        <v>237</v>
      </c>
      <c r="C27" s="126">
        <v>150</v>
      </c>
      <c r="D27" s="126"/>
      <c r="E27" s="127">
        <v>44691</v>
      </c>
      <c r="F27" s="126"/>
      <c r="G27" s="126" t="s">
        <v>236</v>
      </c>
      <c r="H27" s="126">
        <v>2021</v>
      </c>
    </row>
    <row r="28" spans="1:9" x14ac:dyDescent="0.25">
      <c r="B28" s="126" t="s">
        <v>238</v>
      </c>
      <c r="C28" s="126">
        <v>150</v>
      </c>
      <c r="D28" s="126"/>
      <c r="E28" s="127">
        <v>44691</v>
      </c>
      <c r="F28" s="126"/>
      <c r="G28" s="126" t="s">
        <v>236</v>
      </c>
      <c r="H28" s="126">
        <v>2021</v>
      </c>
    </row>
    <row r="29" spans="1:9" x14ac:dyDescent="0.25">
      <c r="B29" s="126" t="s">
        <v>256</v>
      </c>
      <c r="C29" s="126">
        <v>150</v>
      </c>
      <c r="D29" s="126"/>
      <c r="E29" s="127">
        <v>44691</v>
      </c>
      <c r="F29" s="126"/>
      <c r="G29" s="126" t="s">
        <v>236</v>
      </c>
      <c r="H29" s="126">
        <v>2021</v>
      </c>
    </row>
    <row r="30" spans="1:9" x14ac:dyDescent="0.25">
      <c r="B30" s="126" t="s">
        <v>239</v>
      </c>
      <c r="C30" s="126">
        <v>150</v>
      </c>
      <c r="D30" s="126"/>
      <c r="E30" s="127">
        <v>44697</v>
      </c>
      <c r="F30" s="126"/>
      <c r="G30" s="126" t="s">
        <v>258</v>
      </c>
      <c r="H30" s="126">
        <v>2021</v>
      </c>
    </row>
    <row r="31" spans="1:9" x14ac:dyDescent="0.25">
      <c r="B31" s="126" t="s">
        <v>257</v>
      </c>
      <c r="C31" s="126">
        <v>150</v>
      </c>
      <c r="D31" s="126"/>
      <c r="E31" s="127">
        <v>44697</v>
      </c>
      <c r="F31" s="126"/>
      <c r="G31" s="126" t="s">
        <v>258</v>
      </c>
      <c r="H31" s="126">
        <v>2021</v>
      </c>
    </row>
    <row r="32" spans="1:9" x14ac:dyDescent="0.25">
      <c r="B32" s="126" t="s">
        <v>249</v>
      </c>
      <c r="C32" s="126">
        <v>150</v>
      </c>
      <c r="D32" s="126"/>
      <c r="E32" s="127">
        <v>44697</v>
      </c>
      <c r="F32" s="126"/>
      <c r="G32" s="126" t="s">
        <v>258</v>
      </c>
      <c r="H32" s="126">
        <v>2021</v>
      </c>
    </row>
    <row r="33" spans="1:9" s="100" customFormat="1" x14ac:dyDescent="0.25"/>
    <row r="34" spans="1:9" x14ac:dyDescent="0.25">
      <c r="A34">
        <v>121</v>
      </c>
      <c r="B34" t="s">
        <v>230</v>
      </c>
      <c r="C34" s="76">
        <v>2245.79</v>
      </c>
      <c r="E34" s="120">
        <v>44740</v>
      </c>
      <c r="G34" t="s">
        <v>243</v>
      </c>
    </row>
    <row r="35" spans="1:9" x14ac:dyDescent="0.25">
      <c r="B35" s="126" t="s">
        <v>247</v>
      </c>
      <c r="C35" s="126">
        <v>500</v>
      </c>
      <c r="D35" s="126"/>
      <c r="E35" s="127">
        <v>44869</v>
      </c>
      <c r="F35" s="126"/>
      <c r="G35" s="126" t="s">
        <v>248</v>
      </c>
      <c r="H35" s="126">
        <v>2021</v>
      </c>
    </row>
    <row r="36" spans="1:9" s="128" customFormat="1" x14ac:dyDescent="0.25">
      <c r="A36" s="128">
        <v>604398</v>
      </c>
      <c r="B36" s="128" t="s">
        <v>178</v>
      </c>
      <c r="C36" s="130">
        <v>39774.83</v>
      </c>
      <c r="E36" s="129">
        <v>44718</v>
      </c>
      <c r="G36" s="128" t="s">
        <v>242</v>
      </c>
      <c r="I36" s="128" t="s">
        <v>263</v>
      </c>
    </row>
    <row r="37" spans="1:9" x14ac:dyDescent="0.25">
      <c r="A37" t="s">
        <v>240</v>
      </c>
      <c r="B37" t="s">
        <v>241</v>
      </c>
      <c r="C37" s="76">
        <v>1350</v>
      </c>
      <c r="E37" s="120">
        <v>44735</v>
      </c>
      <c r="G37" t="s">
        <v>242</v>
      </c>
      <c r="I37" t="s">
        <v>255</v>
      </c>
    </row>
    <row r="38" spans="1:9" s="100" customFormat="1" x14ac:dyDescent="0.25"/>
    <row r="39" spans="1:9" x14ac:dyDescent="0.25">
      <c r="A39">
        <v>4264</v>
      </c>
      <c r="B39" t="s">
        <v>229</v>
      </c>
      <c r="C39" s="76">
        <v>1299.5</v>
      </c>
      <c r="E39" s="120">
        <v>44771</v>
      </c>
      <c r="G39" t="s">
        <v>253</v>
      </c>
    </row>
    <row r="40" spans="1:9" x14ac:dyDescent="0.25">
      <c r="A40" t="s">
        <v>191</v>
      </c>
      <c r="B40" t="s">
        <v>259</v>
      </c>
      <c r="C40" s="76">
        <v>500</v>
      </c>
      <c r="E40" s="120">
        <v>44769</v>
      </c>
      <c r="G40" t="s">
        <v>260</v>
      </c>
    </row>
    <row r="41" spans="1:9" s="100" customFormat="1" x14ac:dyDescent="0.25"/>
    <row r="42" spans="1:9" x14ac:dyDescent="0.25">
      <c r="A42" t="s">
        <v>285</v>
      </c>
      <c r="B42" t="s">
        <v>273</v>
      </c>
      <c r="C42" s="76">
        <v>500</v>
      </c>
      <c r="E42" s="120">
        <v>44824</v>
      </c>
    </row>
    <row r="43" spans="1:9" x14ac:dyDescent="0.25">
      <c r="B43" t="s">
        <v>274</v>
      </c>
      <c r="C43" s="76">
        <v>500</v>
      </c>
      <c r="E43" s="120">
        <v>44830</v>
      </c>
    </row>
    <row r="44" spans="1:9" x14ac:dyDescent="0.25">
      <c r="B44" t="s">
        <v>275</v>
      </c>
      <c r="C44" s="76">
        <v>1000</v>
      </c>
      <c r="E44" s="120">
        <v>44846</v>
      </c>
    </row>
    <row r="45" spans="1:9" x14ac:dyDescent="0.25">
      <c r="B45" t="s">
        <v>276</v>
      </c>
      <c r="C45" s="76">
        <v>500</v>
      </c>
      <c r="E45" s="120">
        <v>44851</v>
      </c>
      <c r="G45" t="s">
        <v>290</v>
      </c>
    </row>
    <row r="46" spans="1:9" x14ac:dyDescent="0.25">
      <c r="B46" t="s">
        <v>277</v>
      </c>
      <c r="C46" s="76">
        <v>500</v>
      </c>
      <c r="E46" s="120">
        <v>44830</v>
      </c>
    </row>
    <row r="47" spans="1:9" x14ac:dyDescent="0.25">
      <c r="B47" t="s">
        <v>278</v>
      </c>
      <c r="C47" s="76">
        <v>500</v>
      </c>
      <c r="E47" s="120">
        <v>44872</v>
      </c>
      <c r="G47" t="s">
        <v>289</v>
      </c>
    </row>
    <row r="48" spans="1:9" x14ac:dyDescent="0.25">
      <c r="B48" t="s">
        <v>279</v>
      </c>
      <c r="C48" s="76">
        <v>500</v>
      </c>
      <c r="E48" s="120">
        <v>44825</v>
      </c>
    </row>
    <row r="49" spans="1:9" x14ac:dyDescent="0.25">
      <c r="B49" t="s">
        <v>280</v>
      </c>
      <c r="C49" s="76">
        <v>500</v>
      </c>
      <c r="E49" s="120">
        <v>44838</v>
      </c>
      <c r="G49" t="s">
        <v>288</v>
      </c>
    </row>
    <row r="50" spans="1:9" x14ac:dyDescent="0.25">
      <c r="B50" t="s">
        <v>281</v>
      </c>
      <c r="C50" s="76">
        <v>500</v>
      </c>
      <c r="E50" s="120">
        <v>44824</v>
      </c>
    </row>
    <row r="51" spans="1:9" x14ac:dyDescent="0.25">
      <c r="B51" t="s">
        <v>282</v>
      </c>
      <c r="C51" s="76">
        <v>500</v>
      </c>
      <c r="E51" s="120">
        <v>44825</v>
      </c>
    </row>
    <row r="52" spans="1:9" x14ac:dyDescent="0.25">
      <c r="B52" t="s">
        <v>283</v>
      </c>
      <c r="C52" s="76">
        <v>500</v>
      </c>
      <c r="E52" s="120">
        <v>44824</v>
      </c>
    </row>
    <row r="53" spans="1:9" x14ac:dyDescent="0.25">
      <c r="A53">
        <v>122</v>
      </c>
      <c r="B53" t="s">
        <v>230</v>
      </c>
      <c r="C53" s="76">
        <v>664.42</v>
      </c>
      <c r="E53" s="120">
        <v>44850</v>
      </c>
      <c r="G53" t="s">
        <v>286</v>
      </c>
    </row>
    <row r="54" spans="1:9" x14ac:dyDescent="0.25">
      <c r="A54" t="s">
        <v>74</v>
      </c>
      <c r="B54" t="s">
        <v>284</v>
      </c>
      <c r="C54" s="76">
        <v>3898.5</v>
      </c>
      <c r="E54" s="120">
        <v>44850</v>
      </c>
      <c r="G54" t="s">
        <v>287</v>
      </c>
    </row>
    <row r="55" spans="1:9" s="100" customFormat="1" x14ac:dyDescent="0.25"/>
    <row r="56" spans="1:9" x14ac:dyDescent="0.25">
      <c r="A56" t="s">
        <v>191</v>
      </c>
      <c r="B56" t="s">
        <v>259</v>
      </c>
      <c r="C56" s="76">
        <v>500</v>
      </c>
      <c r="E56" s="120">
        <v>44882</v>
      </c>
      <c r="G56" t="s">
        <v>295</v>
      </c>
      <c r="I56" t="s">
        <v>293</v>
      </c>
    </row>
    <row r="57" spans="1:9" x14ac:dyDescent="0.25">
      <c r="A57" t="s">
        <v>292</v>
      </c>
      <c r="B57" t="s">
        <v>291</v>
      </c>
      <c r="C57" s="76">
        <v>565</v>
      </c>
      <c r="E57" s="120">
        <v>44882</v>
      </c>
      <c r="G57" t="s">
        <v>296</v>
      </c>
    </row>
    <row r="58" spans="1:9" s="100" customFormat="1" x14ac:dyDescent="0.25"/>
    <row r="59" spans="1:9" x14ac:dyDescent="0.25">
      <c r="A59" t="s">
        <v>297</v>
      </c>
      <c r="B59" t="s">
        <v>298</v>
      </c>
      <c r="C59" s="76">
        <v>500</v>
      </c>
      <c r="E59" s="120">
        <v>44915</v>
      </c>
      <c r="G59" t="s">
        <v>299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2022</vt:lpstr>
      <vt:lpstr>CONFERENCE</vt:lpstr>
      <vt:lpstr>BUSINESS</vt:lpstr>
      <vt:lpstr>Invoices</vt:lpstr>
    </vt:vector>
  </TitlesOfParts>
  <Company>Memorial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c67smn</dc:creator>
  <cp:lastModifiedBy>Charmaine Kabatoff</cp:lastModifiedBy>
  <cp:lastPrinted>2021-11-17T20:44:32Z</cp:lastPrinted>
  <dcterms:created xsi:type="dcterms:W3CDTF">2021-01-19T13:53:26Z</dcterms:created>
  <dcterms:modified xsi:type="dcterms:W3CDTF">2023-01-03T05:08:05Z</dcterms:modified>
</cp:coreProperties>
</file>